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620" activeTab="0"/>
  </bookViews>
  <sheets>
    <sheet name="מאוחד" sheetId="1" r:id="rId1"/>
    <sheet name="עד 50" sheetId="2" r:id="rId2"/>
    <sheet name="לבני 50 עד 60" sheetId="3" r:id="rId3"/>
    <sheet name="60 ומעלה" sheetId="4" r:id="rId4"/>
    <sheet name="פרוט עמלות והוצאות" sheetId="5" r:id="rId5"/>
    <sheet name="פרוט עמלות ניהול חיצוני" sheetId="6" r:id="rId6"/>
  </sheets>
  <definedNames>
    <definedName name="_xlfn.IFERROR" hidden="1">#NAME?</definedName>
    <definedName name="_xlnm.Print_Area" localSheetId="5">'פרוט עמלות ניהול חיצוני'!$C$2:$D$2</definedName>
  </definedNames>
  <calcPr fullCalcOnLoad="1"/>
</workbook>
</file>

<file path=xl/sharedStrings.xml><?xml version="1.0" encoding="utf-8"?>
<sst xmlns="http://schemas.openxmlformats.org/spreadsheetml/2006/main" count="211" uniqueCount="108">
  <si>
    <t>תאור</t>
  </si>
  <si>
    <t>אלפי ש''ח</t>
  </si>
  <si>
    <t>1. סה"כ עמלות קניה ומכירה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</si>
  <si>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</si>
  <si>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</si>
  <si>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</si>
  <si>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</si>
  <si>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4. סה"כ עמלות ניהול חיצוני</t>
  </si>
  <si>
    <t>ב. סך תשלומים הנובעים מהשקעה בקרנות השקעה בחו"ל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</si>
  <si>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</si>
  <si>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</si>
  <si>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</si>
  <si>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</si>
  <si>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</si>
  <si>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7. שיעור הוצאות ישירות</t>
  </si>
  <si>
    <t>ברוקרז-עמלות קניה ומכירה בגין עסקאות בני"ע סחירים</t>
  </si>
  <si>
    <t>צדדים קשורים</t>
  </si>
  <si>
    <t>סה"כ לצדדים קשורים</t>
  </si>
  <si>
    <t>צדדים שאינם קשורים</t>
  </si>
  <si>
    <t>פועלים סהר</t>
  </si>
  <si>
    <t>MERRILL LYNCH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</si>
  <si>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</si>
  <si>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</si>
  <si>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</si>
  <si>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</si>
  <si>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</si>
  <si>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</si>
  <si>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</si>
  <si>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</si>
  <si>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</si>
  <si>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</si>
  <si>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</si>
  <si>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</si>
  <si>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הוצאות הנובעות מהשקעה בזכויות במקרקעין</t>
  </si>
  <si>
    <t>הוצאה הנובעת בעד ניהול תביעה או תובנה</t>
  </si>
  <si>
    <t>סך הוצאות הנובעות בעד ניהול תביעה או תובנה</t>
  </si>
  <si>
    <t>הוצאה הנובעת ממתן משכנתא</t>
  </si>
  <si>
    <t>סך הוצאות בעד מתן משכנתאות</t>
  </si>
  <si>
    <t>סך הכול עמלות והוצאות</t>
  </si>
  <si>
    <t>תשלום הנובע מהשקעה בקרנות השקעה בישראלים</t>
  </si>
  <si>
    <t>פרוט מהשקעות בקרנות השקעה בישראל</t>
  </si>
  <si>
    <t>סך תשלומים הנובעים מהשקעה בקרנות השקעה בישראלים</t>
  </si>
  <si>
    <t>תשלום הנובע מהשקעה בקרנות השקעה בחו"ל</t>
  </si>
  <si>
    <t>פרוט מהשקעות בקרנות השקעה בחו"ל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</si>
  <si>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</si>
  <si>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</si>
  <si>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</si>
  <si>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</si>
  <si>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סך תשלומים למנהלי תיקים זרים</t>
  </si>
  <si>
    <t>תשלום בגין השקעה בקרנות נאמנות</t>
  </si>
  <si>
    <t>קרן נאמנות ישראלים</t>
  </si>
  <si>
    <t>סה"כ קרן נאמנות ישראלים</t>
  </si>
  <si>
    <t>קרן חוץ</t>
  </si>
  <si>
    <t>סה"כ קרנות נאמנות חוץ</t>
  </si>
  <si>
    <t>סך תשלומים בגין השקעה בקרנות נאמנות</t>
  </si>
  <si>
    <t>סך הכול עמלות ניהול חיצוני</t>
  </si>
  <si>
    <t>א. סך עמלות ברוקראז לצדדים קשורים</t>
  </si>
  <si>
    <t>ב. סך עמלות ברוקראז לצדדים שאינם קשורים</t>
  </si>
  <si>
    <t>3. סה"כ הוצאות מהשקעות לא סחירות</t>
  </si>
  <si>
    <t>ג. סך הוצאות הנובעות מהשקעה בזכויות במקרקעין</t>
  </si>
  <si>
    <t xml:space="preserve">א.סך תשלומים הנובעים מהשקעה בקרנות השקעה בישראל </t>
  </si>
  <si>
    <t>ג. סך תשלומים למנהלי תיקים ישראלים בגין השקעה בחו"ל</t>
  </si>
  <si>
    <t xml:space="preserve">ד. סך תשלומים למנהלי תיקים זרים </t>
  </si>
  <si>
    <t>6. סה"כ הוצאות ישירות (סיכום סעיפים 1 עד 5)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</si>
  <si>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</si>
  <si>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</si>
  <si>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בנק לאומי</t>
  </si>
  <si>
    <t>א. סך עמלות קניה ומכירה לצדדים קשורים</t>
  </si>
  <si>
    <t>ב. סך עמלות קניה ומכירה לצדדים שאינם קשורים</t>
  </si>
  <si>
    <t>3. סה"כ מהשקעות לא סחירות</t>
  </si>
  <si>
    <t>א. סך הוצאות הנובעות מהשקעה בני"ע לא סחירים שאינם לצורך מימון פרויקטים</t>
  </si>
  <si>
    <t>ג. סך הוצאות הנובעות מהשקעה בזכויות מקרקעין</t>
  </si>
  <si>
    <t>א. סך תשלומים הנובעים מהשקעה בקרנות השקעה בישראל</t>
  </si>
  <si>
    <t>ג. סך תשלומים למנהלי תיקים ישראלים בגין השקעות בחו"ל</t>
  </si>
  <si>
    <t>ד. סך תשלומים למנהלי תיקים זרים</t>
  </si>
  <si>
    <t>6. סה"כ הכול הוצאות ישירות</t>
  </si>
  <si>
    <t>8. סך הכל יתרת נכסים ממוצעת</t>
  </si>
  <si>
    <t xml:space="preserve"> סך הכל יתרת נכסים ממוצעת</t>
  </si>
  <si>
    <t>מספר שורה</t>
  </si>
  <si>
    <t>אופי שורה</t>
  </si>
  <si>
    <t>א. סך הוצאות הנובעות מהשקעה בניירות ערך לא סחירים שאינם לצורך מימון פרויקטים לתשתיות</t>
  </si>
  <si>
    <t>מיטב ד"ש</t>
  </si>
  <si>
    <t>CHINA FUND INC</t>
  </si>
  <si>
    <t>COMGEST GROWTH EUROPE-EUR</t>
  </si>
  <si>
    <t>KRANESH BOSERA MSCI CHINA</t>
  </si>
  <si>
    <t>LUX LF FD-LONG TERM GR-K</t>
  </si>
  <si>
    <t>הראל סל בע"מ</t>
  </si>
  <si>
    <t>פסגות קרנות נאמנות בע"מ</t>
  </si>
  <si>
    <t>ה. סך תשלומים בגין השקעה בקרנות סל ישראליות</t>
  </si>
  <si>
    <t>ו. סך תשלומים בגין השקעה בקרנות סל זרות</t>
  </si>
  <si>
    <t>סך תשלומים בגין השקעה בקרנות סל</t>
  </si>
  <si>
    <t>תשלום בגין השקעה בקרנות סל</t>
  </si>
  <si>
    <t>קרנות סל ישראלים</t>
  </si>
  <si>
    <t>סה"כ קרנות סל ישראלים</t>
  </si>
  <si>
    <t>קרנות סל זרה</t>
  </si>
  <si>
    <t>סה"כ קרנות סל זרות</t>
  </si>
  <si>
    <t>קסם תעודות סל ומוצרי מדדי</t>
  </si>
  <si>
    <t>הראל ניהול קרנות נאמנות ב</t>
  </si>
  <si>
    <t>קסם קרנות נאמנות בע"מ</t>
  </si>
  <si>
    <t>מיטב תכלית קרנות נאמנות ב</t>
  </si>
  <si>
    <t xml:space="preserve">קופת התגמולים לעובדי האוניברסיטה העברית  מספר אישור: סך התשלומים ששולמו בגין כל סוג של הוצאה ישירה לשנה המסתיימת ביום : 31/12/2020  נספח 1 </t>
  </si>
  <si>
    <t xml:space="preserve">  קופת התגמולים לעובדי האוניברסיטה העברית  עד 50 סך התשלומים ששולמו בגין כל סוג של הוצאה ישירה לשנה המסתיימת ביום : 31/12/2020  נספח 1 </t>
  </si>
  <si>
    <t xml:space="preserve">  קופת התגמולים לעובדי האוניברסיטה העברית  60 ומעלה סך התשלומים ששולמו בגין כל סוג של הוצאה ישירה לשנה המסתיימת ביום : 31/12/2020 נספח 1 </t>
  </si>
  <si>
    <t xml:space="preserve">קופת התגמולים לעובדי האוניברסיטה העברית  לבני 50 עד 60 סך התשלומים ששולמו בגין כל סוג של הוצאה ישירה לשנה המסתיימת ביום : 31/12/2020  נספח 1 </t>
  </si>
  <si>
    <t xml:space="preserve">קופת התגמולים לעובדי האוניברסיטה העברית  סך התשלומים ששולמו בגין כל סוג של הוצאה ישירה לשנה המסתיימת ביום : 31/12/2020  נספח 2 </t>
  </si>
  <si>
    <t xml:space="preserve">קופת התגמולים לעובדי האוניברסיטה העברית  סך התשלומים ששולמו בגין כל סוג של הוצאה ישירה לשנה המסתיימת ביום : 31/12/2020 נספח 3 </t>
  </si>
  <si>
    <t>מגדל קרנות נאמנות בע"מ</t>
  </si>
  <si>
    <t xml:space="preserve">סך הכל נכסים לסוף שנה קודמת </t>
  </si>
</sst>
</file>

<file path=xl/styles.xml><?xml version="1.0" encoding="utf-8"?>
<styleSheet xmlns="http://schemas.openxmlformats.org/spreadsheetml/2006/main">
  <numFmts count="2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_ * #,##0.0_ ;_ * \-#,##0.0_ ;_ * &quot;-&quot;??_ ;_ @_ "/>
    <numFmt numFmtId="176" formatCode="_ * #,##0_ ;_ * \-#,##0_ ;_ * &quot;-&quot;??_ ;_ @_ "/>
    <numFmt numFmtId="177" formatCode="#,##0.0"/>
    <numFmt numFmtId="178" formatCode="0.000"/>
    <numFmt numFmtId="179" formatCode="#,##0.000"/>
    <numFmt numFmtId="180" formatCode="#,##0.0000"/>
    <numFmt numFmtId="181" formatCode="0.0"/>
    <numFmt numFmtId="182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2"/>
      <color indexed="8"/>
      <name val="David"/>
      <family val="2"/>
    </font>
    <font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David"/>
      <family val="2"/>
    </font>
    <font>
      <sz val="12"/>
      <color theme="1"/>
      <name val="Davi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169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36" fillId="0" borderId="0" xfId="0" applyFont="1" applyAlignment="1">
      <alignment readingOrder="2"/>
    </xf>
    <xf numFmtId="4" fontId="36" fillId="0" borderId="0" xfId="0" applyNumberFormat="1" applyFont="1" applyAlignment="1">
      <alignment readingOrder="2"/>
    </xf>
    <xf numFmtId="0" fontId="36" fillId="0" borderId="0" xfId="0" applyFont="1" applyAlignment="1">
      <alignment/>
    </xf>
    <xf numFmtId="0" fontId="42" fillId="0" borderId="0" xfId="37" applyFont="1" applyFill="1" applyBorder="1" applyAlignment="1" applyProtection="1">
      <alignment horizontal="right" wrapText="1" readingOrder="2"/>
      <protection/>
    </xf>
    <xf numFmtId="0" fontId="42" fillId="0" borderId="0" xfId="37" applyFont="1" applyFill="1" applyBorder="1" applyAlignment="1" applyProtection="1">
      <alignment horizontal="right" wrapText="1" indent="3" readingOrder="2"/>
      <protection/>
    </xf>
    <xf numFmtId="10" fontId="36" fillId="0" borderId="0" xfId="38" applyNumberFormat="1" applyFont="1" applyAlignment="1">
      <alignment readingOrder="2"/>
    </xf>
    <xf numFmtId="0" fontId="0" fillId="0" borderId="0" xfId="0" applyFill="1" applyAlignment="1">
      <alignment horizontal="right"/>
    </xf>
    <xf numFmtId="2" fontId="36" fillId="0" borderId="0" xfId="0" applyNumberFormat="1" applyFont="1" applyAlignment="1">
      <alignment readingOrder="2"/>
    </xf>
    <xf numFmtId="0" fontId="36" fillId="0" borderId="0" xfId="0" applyFont="1" applyAlignment="1">
      <alignment horizontal="right" readingOrder="2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174" fontId="0" fillId="0" borderId="0" xfId="33" applyNumberFormat="1" applyFont="1" applyAlignment="1">
      <alignment/>
    </xf>
    <xf numFmtId="174" fontId="36" fillId="0" borderId="0" xfId="33" applyNumberFormat="1" applyFont="1" applyAlignment="1">
      <alignment/>
    </xf>
    <xf numFmtId="174" fontId="36" fillId="0" borderId="0" xfId="33" applyNumberFormat="1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 readingOrder="2"/>
    </xf>
    <xf numFmtId="0" fontId="36" fillId="0" borderId="0" xfId="0" applyFont="1" applyAlignment="1">
      <alignment horizontal="right" readingOrder="2"/>
    </xf>
    <xf numFmtId="0" fontId="0" fillId="0" borderId="0" xfId="0" applyFill="1" applyAlignment="1">
      <alignment readingOrder="2"/>
    </xf>
    <xf numFmtId="3" fontId="36" fillId="0" borderId="0" xfId="0" applyNumberFormat="1" applyFont="1" applyFill="1" applyAlignment="1">
      <alignment readingOrder="2"/>
    </xf>
    <xf numFmtId="10" fontId="36" fillId="0" borderId="0" xfId="38" applyNumberFormat="1" applyFont="1" applyFill="1" applyAlignment="1">
      <alignment readingOrder="2"/>
    </xf>
    <xf numFmtId="174" fontId="36" fillId="0" borderId="0" xfId="0" applyNumberFormat="1" applyFont="1" applyAlignment="1">
      <alignment/>
    </xf>
    <xf numFmtId="171" fontId="0" fillId="0" borderId="0" xfId="33" applyFont="1" applyAlignment="1">
      <alignment/>
    </xf>
    <xf numFmtId="171" fontId="36" fillId="0" borderId="0" xfId="33" applyFont="1" applyAlignment="1">
      <alignment/>
    </xf>
    <xf numFmtId="171" fontId="0" fillId="0" borderId="0" xfId="33" applyFont="1" applyAlignment="1">
      <alignment/>
    </xf>
    <xf numFmtId="171" fontId="36" fillId="0" borderId="0" xfId="33" applyFont="1" applyFill="1" applyAlignment="1">
      <alignment/>
    </xf>
    <xf numFmtId="171" fontId="36" fillId="0" borderId="0" xfId="33" applyFont="1" applyAlignment="1">
      <alignment readingOrder="2"/>
    </xf>
    <xf numFmtId="171" fontId="0" fillId="0" borderId="0" xfId="33" applyFont="1" applyAlignment="1">
      <alignment readingOrder="2"/>
    </xf>
    <xf numFmtId="171" fontId="0" fillId="0" borderId="0" xfId="33" applyFont="1" applyFill="1" applyAlignment="1">
      <alignment readingOrder="2"/>
    </xf>
    <xf numFmtId="171" fontId="36" fillId="0" borderId="0" xfId="33" applyFont="1" applyFill="1" applyAlignment="1">
      <alignment readingOrder="2"/>
    </xf>
    <xf numFmtId="171" fontId="0" fillId="0" borderId="0" xfId="33" applyFont="1" applyFill="1" applyAlignment="1">
      <alignment readingOrder="2"/>
    </xf>
    <xf numFmtId="171" fontId="0" fillId="0" borderId="0" xfId="33" applyFont="1" applyAlignment="1">
      <alignment readingOrder="2"/>
    </xf>
    <xf numFmtId="43" fontId="0" fillId="0" borderId="0" xfId="0" applyNumberFormat="1" applyAlignment="1">
      <alignment/>
    </xf>
    <xf numFmtId="0" fontId="36" fillId="0" borderId="0" xfId="0" applyFont="1" applyFill="1" applyAlignment="1">
      <alignment horizontal="right" readingOrder="2"/>
    </xf>
    <xf numFmtId="171" fontId="36" fillId="0" borderId="0" xfId="33" applyNumberFormat="1" applyFont="1" applyAlignment="1">
      <alignment/>
    </xf>
    <xf numFmtId="171" fontId="36" fillId="0" borderId="0" xfId="33" applyFont="1" applyFill="1" applyAlignment="1">
      <alignment horizontal="right"/>
    </xf>
    <xf numFmtId="3" fontId="36" fillId="0" borderId="0" xfId="0" applyNumberFormat="1" applyFont="1" applyAlignment="1">
      <alignment readingOrder="2"/>
    </xf>
    <xf numFmtId="171" fontId="0" fillId="0" borderId="0" xfId="33" applyFont="1" applyFill="1" applyAlignment="1">
      <alignment/>
    </xf>
    <xf numFmtId="43" fontId="36" fillId="0" borderId="0" xfId="0" applyNumberFormat="1" applyFont="1" applyAlignment="1">
      <alignment readingOrder="2"/>
    </xf>
    <xf numFmtId="10" fontId="0" fillId="0" borderId="0" xfId="0" applyNumberFormat="1" applyAlignment="1">
      <alignment readingOrder="2"/>
    </xf>
    <xf numFmtId="43" fontId="0" fillId="0" borderId="0" xfId="0" applyNumberFormat="1" applyAlignment="1">
      <alignment readingOrder="2"/>
    </xf>
    <xf numFmtId="4" fontId="0" fillId="0" borderId="0" xfId="0" applyNumberFormat="1" applyAlignment="1">
      <alignment readingOrder="2"/>
    </xf>
    <xf numFmtId="171" fontId="0" fillId="0" borderId="0" xfId="33" applyFont="1" applyAlignment="1">
      <alignment readingOrder="2"/>
    </xf>
    <xf numFmtId="171" fontId="0" fillId="0" borderId="0" xfId="33" applyFont="1" applyAlignment="1">
      <alignment readingOrder="2"/>
    </xf>
    <xf numFmtId="0" fontId="36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43" fillId="0" borderId="10" xfId="37" applyFont="1" applyBorder="1" applyAlignment="1">
      <alignment vertical="top" wrapText="1" readingOrder="1"/>
      <protection/>
    </xf>
    <xf numFmtId="0" fontId="43" fillId="0" borderId="10" xfId="37" applyFont="1" applyBorder="1" applyAlignment="1">
      <alignment vertical="top" wrapText="1" readingOrder="2"/>
      <protection/>
    </xf>
    <xf numFmtId="0" fontId="0" fillId="0" borderId="10" xfId="0" applyBorder="1" applyAlignment="1">
      <alignment horizontal="right" vertical="top" wrapText="1" readingOrder="2"/>
    </xf>
    <xf numFmtId="3" fontId="36" fillId="0" borderId="10" xfId="0" applyNumberFormat="1" applyFont="1" applyBorder="1" applyAlignment="1">
      <alignment readingOrder="2"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25" xfId="36"/>
    <cellStyle name="Normal 3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rightToLeft="1" tabSelected="1" zoomScalePageLayoutView="0" workbookViewId="0" topLeftCell="A13">
      <selection activeCell="F34" sqref="F34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52.421875" style="1" customWidth="1"/>
    <col min="4" max="4" width="11.7109375" style="1" bestFit="1" customWidth="1"/>
    <col min="5" max="5" width="3.421875" style="1" customWidth="1"/>
    <col min="6" max="8" width="9.140625" style="1" customWidth="1"/>
    <col min="9" max="9" width="12.28125" style="1" bestFit="1" customWidth="1"/>
    <col min="10" max="16384" width="9.140625" style="1" customWidth="1"/>
  </cols>
  <sheetData>
    <row r="1" ht="15">
      <c r="B1" s="2" t="s">
        <v>100</v>
      </c>
    </row>
    <row r="2" spans="3:4" ht="14.25">
      <c r="C2" s="1" t="s">
        <v>0</v>
      </c>
      <c r="D2" s="1" t="s">
        <v>1</v>
      </c>
    </row>
    <row r="3" spans="1:4" ht="15.75">
      <c r="A3" s="2"/>
      <c r="B3" s="2"/>
      <c r="C3" s="5" t="s">
        <v>2</v>
      </c>
      <c r="D3" s="39">
        <f>D4+D5</f>
        <v>453.57</v>
      </c>
    </row>
    <row r="4" spans="1:5" ht="15.75">
      <c r="A4" s="2"/>
      <c r="B4" s="2"/>
      <c r="C4" s="6" t="s">
        <v>56</v>
      </c>
      <c r="D4" s="27">
        <f>'עד 50'!D4+'60 ומעלה'!D4+'לבני 50 עד 60'!D4</f>
        <v>14.6</v>
      </c>
      <c r="E4" s="2"/>
    </row>
    <row r="5" spans="1:5" ht="15.75">
      <c r="A5" s="2"/>
      <c r="B5" s="2"/>
      <c r="C5" s="6" t="s">
        <v>57</v>
      </c>
      <c r="D5" s="2">
        <f>'עד 50'!D5+'60 ומעלה'!D5+'לבני 50 עד 60'!D5</f>
        <v>438.96999999999997</v>
      </c>
      <c r="E5" s="2"/>
    </row>
    <row r="6" spans="1:5" ht="15.75">
      <c r="A6" s="2"/>
      <c r="B6" s="2"/>
      <c r="C6" s="6"/>
      <c r="E6" s="2"/>
    </row>
    <row r="7" spans="1:4" ht="15.75">
      <c r="A7" s="2"/>
      <c r="B7" s="2"/>
      <c r="C7" s="5" t="s">
        <v>3</v>
      </c>
      <c r="D7" s="27">
        <f>SUM(D8:D9)</f>
        <v>61.77</v>
      </c>
    </row>
    <row r="8" spans="1:5" ht="15.75">
      <c r="A8" s="2"/>
      <c r="B8" s="2"/>
      <c r="C8" s="6" t="s">
        <v>4</v>
      </c>
      <c r="D8" s="28">
        <v>0</v>
      </c>
      <c r="E8" s="2"/>
    </row>
    <row r="9" spans="1:5" ht="15.75">
      <c r="A9" s="2"/>
      <c r="B9" s="2"/>
      <c r="C9" s="6" t="s">
        <v>5</v>
      </c>
      <c r="D9" s="30">
        <f>'עד 50'!D9+'60 ומעלה'!D9+'לבני 50 עד 60'!D9</f>
        <v>61.77</v>
      </c>
      <c r="E9" s="2"/>
    </row>
    <row r="10" spans="1:5" ht="15.75">
      <c r="A10" s="2"/>
      <c r="B10" s="2"/>
      <c r="C10" s="6"/>
      <c r="D10" s="28"/>
      <c r="E10" s="2"/>
    </row>
    <row r="11" spans="1:8" ht="15.75">
      <c r="A11" s="2"/>
      <c r="B11" s="2"/>
      <c r="C11" s="5" t="s">
        <v>58</v>
      </c>
      <c r="D11" s="27">
        <f>'עד 50'!D11</f>
        <v>2609.3720000000003</v>
      </c>
      <c r="H11" s="41"/>
    </row>
    <row r="12" spans="1:5" ht="31.5">
      <c r="A12" s="2"/>
      <c r="B12" s="2"/>
      <c r="C12" s="6" t="s">
        <v>80</v>
      </c>
      <c r="D12" s="27">
        <f>'עד 50'!D13</f>
        <v>115.833</v>
      </c>
      <c r="E12" s="2"/>
    </row>
    <row r="13" spans="1:5" ht="15.75">
      <c r="A13" s="2"/>
      <c r="B13" s="2"/>
      <c r="C13" s="6" t="s">
        <v>6</v>
      </c>
      <c r="D13" s="28">
        <v>0</v>
      </c>
      <c r="E13" s="2"/>
    </row>
    <row r="14" spans="1:5" ht="15.75">
      <c r="A14" s="2"/>
      <c r="B14" s="2"/>
      <c r="C14" s="6" t="s">
        <v>59</v>
      </c>
      <c r="D14" s="27">
        <f>'עד 50'!D15</f>
        <v>2493.539</v>
      </c>
      <c r="E14" s="2"/>
    </row>
    <row r="15" spans="1:5" ht="15.75">
      <c r="A15" s="2"/>
      <c r="B15" s="2"/>
      <c r="C15" s="6"/>
      <c r="D15" s="28"/>
      <c r="E15" s="2"/>
    </row>
    <row r="16" spans="1:4" ht="15.75">
      <c r="A16" s="2"/>
      <c r="B16" s="2"/>
      <c r="C16" s="5" t="s">
        <v>7</v>
      </c>
      <c r="D16" s="27">
        <f>SUM(D17:D24)</f>
        <v>3468.2300000000005</v>
      </c>
    </row>
    <row r="17" spans="1:6" ht="15.75">
      <c r="A17" s="2"/>
      <c r="B17" s="2"/>
      <c r="C17" s="6" t="s">
        <v>60</v>
      </c>
      <c r="D17" s="29">
        <f>'עד 50'!D18+'60 ומעלה'!D17+'לבני 50 עד 60'!D17</f>
        <v>1451.617</v>
      </c>
      <c r="E17" s="2"/>
      <c r="F17" s="41"/>
    </row>
    <row r="18" spans="1:6" ht="15.75">
      <c r="A18" s="2"/>
      <c r="B18" s="2"/>
      <c r="C18" s="6" t="s">
        <v>8</v>
      </c>
      <c r="D18" s="29">
        <f>'עד 50'!D19+'60 ומעלה'!D18+'לבני 50 עד 60'!D18</f>
        <v>560.313</v>
      </c>
      <c r="E18" s="9"/>
      <c r="F18" s="41"/>
    </row>
    <row r="19" spans="1:5" ht="15.75">
      <c r="A19" s="2"/>
      <c r="B19" s="2"/>
      <c r="C19" s="6" t="s">
        <v>61</v>
      </c>
      <c r="D19" s="29">
        <f>'עד 50'!D20+'60 ומעלה'!D19+'לבני 50 עד 60'!D19</f>
        <v>0</v>
      </c>
      <c r="E19" s="2"/>
    </row>
    <row r="20" spans="1:6" ht="15.75">
      <c r="A20" s="2"/>
      <c r="B20" s="2"/>
      <c r="C20" s="6" t="s">
        <v>62</v>
      </c>
      <c r="D20" s="29">
        <f>'עד 50'!D21+'60 ומעלה'!D20+'לבני 50 עד 60'!D20</f>
        <v>0</v>
      </c>
      <c r="E20" s="2"/>
      <c r="F20" s="41"/>
    </row>
    <row r="21" spans="1:6" ht="15.75">
      <c r="A21" s="2"/>
      <c r="B21" s="2"/>
      <c r="C21" s="6" t="s">
        <v>88</v>
      </c>
      <c r="D21" s="29">
        <f>'עד 50'!D22+'60 ומעלה'!D21+'לבני 50 עד 60'!D21</f>
        <v>279.28</v>
      </c>
      <c r="E21" s="2"/>
      <c r="F21" s="41"/>
    </row>
    <row r="22" spans="1:6" ht="15.75">
      <c r="A22" s="2"/>
      <c r="B22" s="2"/>
      <c r="C22" s="6" t="s">
        <v>89</v>
      </c>
      <c r="D22" s="29">
        <f>'עד 50'!D23+'60 ומעלה'!D22+'לבני 50 עד 60'!D22</f>
        <v>681.51</v>
      </c>
      <c r="E22" s="2"/>
      <c r="F22" s="41"/>
    </row>
    <row r="23" spans="1:5" ht="15.75">
      <c r="A23" s="2"/>
      <c r="B23" s="2"/>
      <c r="C23" s="6" t="s">
        <v>9</v>
      </c>
      <c r="D23" s="29">
        <f>'עד 50'!D24+'60 ומעלה'!D23+'לבני 50 עד 60'!D23</f>
        <v>4.46</v>
      </c>
      <c r="E23" s="2"/>
    </row>
    <row r="24" spans="1:6" ht="15.75">
      <c r="A24" s="2"/>
      <c r="B24" s="2"/>
      <c r="C24" s="6" t="s">
        <v>10</v>
      </c>
      <c r="D24" s="29">
        <f>'עד 50'!D25+'60 ומעלה'!D24+'לבני 50 עד 60'!D24</f>
        <v>491.05</v>
      </c>
      <c r="E24" s="2"/>
      <c r="F24" s="41"/>
    </row>
    <row r="25" spans="1:5" ht="15.75">
      <c r="A25" s="2"/>
      <c r="B25" s="2"/>
      <c r="C25" s="6"/>
      <c r="D25" s="28"/>
      <c r="E25" s="2"/>
    </row>
    <row r="26" spans="1:4" ht="15.75">
      <c r="A26" s="2"/>
      <c r="B26" s="2"/>
      <c r="C26" s="5" t="s">
        <v>11</v>
      </c>
      <c r="D26" s="27">
        <f>SUM(D27:D28)</f>
        <v>0</v>
      </c>
    </row>
    <row r="27" spans="1:5" ht="15.75">
      <c r="A27" s="2"/>
      <c r="B27" s="2"/>
      <c r="C27" s="6" t="s">
        <v>12</v>
      </c>
      <c r="D27" s="28">
        <v>0</v>
      </c>
      <c r="E27" s="2"/>
    </row>
    <row r="28" spans="1:5" ht="15.75">
      <c r="A28" s="2"/>
      <c r="B28" s="2"/>
      <c r="C28" s="6" t="s">
        <v>13</v>
      </c>
      <c r="D28" s="28">
        <v>0</v>
      </c>
      <c r="E28" s="2"/>
    </row>
    <row r="29" spans="1:5" ht="15.75">
      <c r="A29" s="2"/>
      <c r="B29" s="2"/>
      <c r="C29" s="6"/>
      <c r="D29" s="27"/>
      <c r="E29" s="2"/>
    </row>
    <row r="30" spans="1:5" ht="15.75">
      <c r="A30" s="2"/>
      <c r="B30" s="2"/>
      <c r="C30" s="5" t="s">
        <v>63</v>
      </c>
      <c r="D30" s="27">
        <f>D3+D9+D16+D11</f>
        <v>6592.942000000001</v>
      </c>
      <c r="E30" s="3"/>
    </row>
    <row r="31" spans="1:5" ht="15.75">
      <c r="A31" s="2"/>
      <c r="B31" s="2"/>
      <c r="C31" s="5"/>
      <c r="D31" s="3"/>
      <c r="E31" s="2"/>
    </row>
    <row r="32" spans="1:3" ht="15.75">
      <c r="A32" s="2"/>
      <c r="B32" s="2"/>
      <c r="C32" s="5" t="s">
        <v>14</v>
      </c>
    </row>
    <row r="33" spans="1:6" ht="47.25">
      <c r="A33" s="2"/>
      <c r="B33" s="2"/>
      <c r="C33" s="6" t="s">
        <v>64</v>
      </c>
      <c r="D33" s="7">
        <f>SUM(D12+D16+D28)/D36</f>
        <v>0.0020912056545580367</v>
      </c>
      <c r="E33" s="2"/>
      <c r="F33" s="40"/>
    </row>
    <row r="34" spans="1:5" ht="31.5">
      <c r="A34" s="2"/>
      <c r="B34" s="2"/>
      <c r="C34" s="6" t="s">
        <v>65</v>
      </c>
      <c r="D34" s="7">
        <f>D30/D36</f>
        <v>0.003846806708077724</v>
      </c>
      <c r="E34" s="2"/>
    </row>
    <row r="35" spans="1:5" ht="15.75">
      <c r="A35" s="2"/>
      <c r="B35" s="2"/>
      <c r="C35" s="6"/>
      <c r="D35" s="7"/>
      <c r="E35" s="2"/>
    </row>
    <row r="36" spans="1:5" ht="15">
      <c r="A36" s="2"/>
      <c r="B36" s="2"/>
      <c r="C36" s="10" t="s">
        <v>76</v>
      </c>
      <c r="D36" s="37">
        <f>'עד 50'!D35+'60 ומעלה'!D35+'לבני 50 עד 60'!D35</f>
        <v>1713874</v>
      </c>
      <c r="E3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">
      <selection activeCell="D3" sqref="D3:D31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73.421875" style="1" customWidth="1"/>
    <col min="4" max="4" width="12.57421875" style="1" bestFit="1" customWidth="1"/>
    <col min="5" max="5" width="11.8515625" style="1" bestFit="1" customWidth="1"/>
    <col min="6" max="16384" width="9.140625" style="1" customWidth="1"/>
  </cols>
  <sheetData>
    <row r="1" spans="2:13" ht="15">
      <c r="B1" s="45" t="s">
        <v>101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4" ht="14.25">
      <c r="C2" s="1" t="s">
        <v>0</v>
      </c>
      <c r="D2" s="1" t="s">
        <v>1</v>
      </c>
    </row>
    <row r="3" spans="1:4" ht="15">
      <c r="A3" s="2"/>
      <c r="B3" s="2"/>
      <c r="C3" s="10" t="s">
        <v>2</v>
      </c>
      <c r="D3" s="27">
        <f>+D4+D5</f>
        <v>421.06</v>
      </c>
    </row>
    <row r="4" spans="1:5" ht="15">
      <c r="A4" s="2"/>
      <c r="B4" s="2"/>
      <c r="C4" s="10" t="s">
        <v>67</v>
      </c>
      <c r="D4" s="27">
        <v>13.85</v>
      </c>
      <c r="E4" s="2"/>
    </row>
    <row r="5" spans="1:6" ht="15">
      <c r="A5" s="2"/>
      <c r="B5" s="2"/>
      <c r="C5" s="10" t="s">
        <v>68</v>
      </c>
      <c r="D5" s="27">
        <f>421.06-D4</f>
        <v>407.21</v>
      </c>
      <c r="E5" s="2"/>
      <c r="F5" s="41"/>
    </row>
    <row r="6" spans="1:5" ht="15">
      <c r="A6" s="2"/>
      <c r="B6" s="2"/>
      <c r="C6" s="17"/>
      <c r="D6" s="27"/>
      <c r="E6" s="2"/>
    </row>
    <row r="7" spans="1:6" ht="15">
      <c r="A7" s="2"/>
      <c r="B7" s="2"/>
      <c r="C7" s="34" t="s">
        <v>3</v>
      </c>
      <c r="D7" s="30">
        <f>+D8+D9</f>
        <v>58.18</v>
      </c>
      <c r="F7" s="41"/>
    </row>
    <row r="8" spans="1:5" ht="15">
      <c r="A8" s="2"/>
      <c r="B8" s="2"/>
      <c r="C8" s="10" t="s">
        <v>4</v>
      </c>
      <c r="D8" s="27">
        <v>0</v>
      </c>
      <c r="E8" s="2"/>
    </row>
    <row r="9" spans="1:5" ht="15">
      <c r="A9" s="2"/>
      <c r="B9" s="2"/>
      <c r="C9" s="10" t="s">
        <v>5</v>
      </c>
      <c r="D9" s="27">
        <v>58.18</v>
      </c>
      <c r="E9" s="2"/>
    </row>
    <row r="10" spans="1:10" ht="15">
      <c r="A10" s="2"/>
      <c r="B10" s="2"/>
      <c r="C10" s="17"/>
      <c r="D10" s="27"/>
      <c r="E10" s="2"/>
      <c r="J10"/>
    </row>
    <row r="11" spans="1:4" ht="15">
      <c r="A11" s="2"/>
      <c r="B11" s="2"/>
      <c r="C11" s="34" t="s">
        <v>69</v>
      </c>
      <c r="D11" s="30">
        <f>D14+D15+D13</f>
        <v>2609.3720000000003</v>
      </c>
    </row>
    <row r="12" spans="1:4" ht="15">
      <c r="A12" s="2"/>
      <c r="B12" s="2"/>
      <c r="C12" s="18"/>
      <c r="D12" s="27"/>
    </row>
    <row r="13" spans="1:5" ht="15">
      <c r="A13" s="2"/>
      <c r="B13" s="2"/>
      <c r="C13" s="34" t="s">
        <v>80</v>
      </c>
      <c r="D13" s="30">
        <v>115.833</v>
      </c>
      <c r="E13" s="2"/>
    </row>
    <row r="14" spans="1:5" ht="15">
      <c r="A14" s="2"/>
      <c r="B14" s="2"/>
      <c r="C14" s="34" t="s">
        <v>6</v>
      </c>
      <c r="D14" s="30">
        <v>0</v>
      </c>
      <c r="E14" s="2"/>
    </row>
    <row r="15" spans="1:5" ht="15">
      <c r="A15" s="2"/>
      <c r="B15" s="2"/>
      <c r="C15" s="34" t="s">
        <v>71</v>
      </c>
      <c r="D15" s="30">
        <v>2493.539</v>
      </c>
      <c r="E15" s="2"/>
    </row>
    <row r="16" spans="1:5" ht="15">
      <c r="A16" s="2"/>
      <c r="B16" s="2"/>
      <c r="C16" s="17"/>
      <c r="D16" s="30"/>
      <c r="E16" s="2"/>
    </row>
    <row r="17" spans="1:4" ht="15">
      <c r="A17" s="2"/>
      <c r="B17" s="2"/>
      <c r="C17" s="10" t="s">
        <v>7</v>
      </c>
      <c r="D17" s="30">
        <f>SUM(D18:D25)</f>
        <v>3349.335</v>
      </c>
    </row>
    <row r="18" spans="1:5" ht="15">
      <c r="A18" s="2"/>
      <c r="B18" s="2"/>
      <c r="C18" s="34" t="s">
        <v>72</v>
      </c>
      <c r="D18" s="30">
        <v>1422.652</v>
      </c>
      <c r="E18" s="2"/>
    </row>
    <row r="19" spans="1:5" ht="15">
      <c r="A19" s="2"/>
      <c r="B19" s="2"/>
      <c r="C19" s="34" t="s">
        <v>8</v>
      </c>
      <c r="D19" s="30">
        <v>532.433</v>
      </c>
      <c r="E19" s="2"/>
    </row>
    <row r="20" spans="1:5" ht="15">
      <c r="A20" s="2"/>
      <c r="B20" s="2"/>
      <c r="C20" s="10" t="s">
        <v>73</v>
      </c>
      <c r="D20" s="30">
        <v>0</v>
      </c>
      <c r="E20" s="2"/>
    </row>
    <row r="21" spans="1:5" ht="15">
      <c r="A21" s="2"/>
      <c r="B21" s="2"/>
      <c r="C21" s="10" t="s">
        <v>74</v>
      </c>
      <c r="D21" s="30">
        <v>0</v>
      </c>
      <c r="E21" s="2"/>
    </row>
    <row r="22" spans="1:5" ht="15">
      <c r="A22" s="2"/>
      <c r="B22" s="2"/>
      <c r="C22" s="10" t="s">
        <v>88</v>
      </c>
      <c r="D22" s="2">
        <f>262.34-3.15</f>
        <v>259.19</v>
      </c>
      <c r="E22" s="2"/>
    </row>
    <row r="23" spans="1:5" ht="15">
      <c r="A23" s="2"/>
      <c r="B23" s="2"/>
      <c r="C23" s="10" t="s">
        <v>89</v>
      </c>
      <c r="D23" s="2">
        <v>660.46</v>
      </c>
      <c r="E23" s="2"/>
    </row>
    <row r="24" spans="1:5" ht="15">
      <c r="A24" s="2"/>
      <c r="B24" s="2"/>
      <c r="C24" s="10" t="s">
        <v>9</v>
      </c>
      <c r="D24" s="2">
        <v>4.46</v>
      </c>
      <c r="E24" s="2"/>
    </row>
    <row r="25" spans="1:5" ht="15">
      <c r="A25" s="2"/>
      <c r="B25" s="2"/>
      <c r="C25" s="10" t="s">
        <v>10</v>
      </c>
      <c r="D25" s="2">
        <v>470.14</v>
      </c>
      <c r="E25" s="2"/>
    </row>
    <row r="26" spans="1:5" ht="15">
      <c r="A26" s="2"/>
      <c r="B26" s="2"/>
      <c r="C26" s="17"/>
      <c r="D26" s="30"/>
      <c r="E26" s="2"/>
    </row>
    <row r="27" spans="1:4" ht="15">
      <c r="A27" s="2"/>
      <c r="B27" s="2"/>
      <c r="C27" s="10" t="s">
        <v>11</v>
      </c>
      <c r="D27" s="31"/>
    </row>
    <row r="28" spans="1:5" ht="15">
      <c r="A28" s="2"/>
      <c r="B28" s="2"/>
      <c r="C28" s="10" t="s">
        <v>12</v>
      </c>
      <c r="D28" s="30">
        <v>0</v>
      </c>
      <c r="E28" s="2"/>
    </row>
    <row r="29" spans="1:5" ht="15">
      <c r="A29" s="2"/>
      <c r="B29" s="2"/>
      <c r="C29" s="10" t="s">
        <v>13</v>
      </c>
      <c r="D29" s="30">
        <v>0</v>
      </c>
      <c r="E29" s="2"/>
    </row>
    <row r="30" spans="1:5" ht="15">
      <c r="A30" s="2"/>
      <c r="B30" s="2"/>
      <c r="C30" s="17"/>
      <c r="D30" s="30"/>
      <c r="E30" s="2"/>
    </row>
    <row r="31" spans="1:5" ht="15">
      <c r="A31" s="2"/>
      <c r="B31" s="2"/>
      <c r="C31" s="10" t="s">
        <v>75</v>
      </c>
      <c r="D31" s="30">
        <f>+D3+D7+D11+D17</f>
        <v>6437.947</v>
      </c>
      <c r="E31" s="2"/>
    </row>
    <row r="32" spans="1:4" ht="15">
      <c r="A32" s="2"/>
      <c r="B32" s="2"/>
      <c r="C32" s="10" t="s">
        <v>14</v>
      </c>
      <c r="D32" s="19"/>
    </row>
    <row r="33" spans="1:5" ht="31.5">
      <c r="A33" s="2"/>
      <c r="B33" s="2"/>
      <c r="C33" s="47" t="s">
        <v>64</v>
      </c>
      <c r="D33" s="21">
        <f>+(D28+D17+D13)/D35</f>
        <v>0.002164289394871539</v>
      </c>
      <c r="E33" s="2"/>
    </row>
    <row r="34" spans="1:5" ht="31.5">
      <c r="A34" s="2"/>
      <c r="B34" s="2"/>
      <c r="C34" s="48" t="s">
        <v>65</v>
      </c>
      <c r="D34" s="21">
        <f>+D31/D35</f>
        <v>0.004021040370003716</v>
      </c>
      <c r="E34" s="2"/>
    </row>
    <row r="35" spans="1:5" ht="15">
      <c r="A35" s="2"/>
      <c r="B35" s="2"/>
      <c r="C35" s="49" t="s">
        <v>107</v>
      </c>
      <c r="D35" s="20">
        <v>1601065</v>
      </c>
      <c r="E35" s="2"/>
    </row>
    <row r="42" ht="14.25">
      <c r="D42" s="44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rightToLeft="1" zoomScalePageLayoutView="0" workbookViewId="0" topLeftCell="A1">
      <selection activeCell="D16" sqref="D16:D30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71.28125" style="1" bestFit="1" customWidth="1"/>
    <col min="4" max="4" width="9.140625" style="1" customWidth="1"/>
    <col min="5" max="5" width="11.8515625" style="1" bestFit="1" customWidth="1"/>
    <col min="6" max="16384" width="9.140625" style="1" customWidth="1"/>
  </cols>
  <sheetData>
    <row r="1" spans="2:13" ht="15">
      <c r="B1" s="45" t="s">
        <v>103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4" ht="14.25">
      <c r="A2" s="1" t="s">
        <v>78</v>
      </c>
      <c r="B2" s="1" t="s">
        <v>79</v>
      </c>
      <c r="C2" s="1" t="s">
        <v>0</v>
      </c>
      <c r="D2" s="1" t="s">
        <v>1</v>
      </c>
    </row>
    <row r="3" spans="1:4" ht="15">
      <c r="A3" s="2">
        <v>10</v>
      </c>
      <c r="B3" s="2">
        <v>0</v>
      </c>
      <c r="C3" s="10" t="s">
        <v>2</v>
      </c>
      <c r="D3" s="2">
        <f>SUM(D4:D5)</f>
        <v>0.38</v>
      </c>
    </row>
    <row r="4" spans="1:5" ht="15">
      <c r="A4" s="2">
        <v>12</v>
      </c>
      <c r="B4" s="2">
        <v>2</v>
      </c>
      <c r="C4" s="10" t="s">
        <v>67</v>
      </c>
      <c r="D4" s="2">
        <v>0</v>
      </c>
      <c r="E4" s="2"/>
    </row>
    <row r="5" spans="1:5" ht="15">
      <c r="A5" s="2">
        <v>14</v>
      </c>
      <c r="B5" s="2">
        <v>2</v>
      </c>
      <c r="C5" s="10" t="s">
        <v>68</v>
      </c>
      <c r="D5" s="2">
        <v>0.38</v>
      </c>
      <c r="E5" s="2"/>
    </row>
    <row r="6" spans="1:5" ht="15">
      <c r="A6" s="2"/>
      <c r="B6" s="2"/>
      <c r="C6" s="17"/>
      <c r="D6" s="2"/>
      <c r="E6" s="2"/>
    </row>
    <row r="7" spans="1:4" ht="15">
      <c r="A7" s="2">
        <v>25</v>
      </c>
      <c r="B7" s="2">
        <v>0</v>
      </c>
      <c r="C7" s="10" t="s">
        <v>3</v>
      </c>
      <c r="D7" s="2">
        <f>SUM(D8:D9)</f>
        <v>0.02</v>
      </c>
    </row>
    <row r="8" spans="1:5" ht="15">
      <c r="A8" s="2">
        <v>30</v>
      </c>
      <c r="B8" s="2">
        <v>2</v>
      </c>
      <c r="C8" s="10" t="s">
        <v>4</v>
      </c>
      <c r="D8" s="2">
        <v>0</v>
      </c>
      <c r="E8" s="2"/>
    </row>
    <row r="9" spans="1:5" ht="15">
      <c r="A9" s="2">
        <v>40</v>
      </c>
      <c r="B9" s="2">
        <v>2</v>
      </c>
      <c r="C9" s="10" t="s">
        <v>5</v>
      </c>
      <c r="D9" s="2">
        <v>0.02</v>
      </c>
      <c r="E9" s="2"/>
    </row>
    <row r="10" spans="1:5" ht="15">
      <c r="A10" s="2"/>
      <c r="B10" s="2"/>
      <c r="C10" s="17"/>
      <c r="D10" s="2"/>
      <c r="E10" s="2"/>
    </row>
    <row r="11" spans="1:3" ht="15">
      <c r="A11" s="2">
        <v>45</v>
      </c>
      <c r="B11" s="2">
        <v>0</v>
      </c>
      <c r="C11" s="10" t="s">
        <v>69</v>
      </c>
    </row>
    <row r="12" spans="1:5" ht="15">
      <c r="A12" s="2">
        <v>50</v>
      </c>
      <c r="B12" s="2">
        <v>2</v>
      </c>
      <c r="C12" s="10" t="s">
        <v>70</v>
      </c>
      <c r="D12" s="2">
        <v>0</v>
      </c>
      <c r="E12" s="2"/>
    </row>
    <row r="13" spans="1:5" ht="15">
      <c r="A13" s="2">
        <v>60</v>
      </c>
      <c r="B13" s="2">
        <v>2</v>
      </c>
      <c r="C13" s="10" t="s">
        <v>6</v>
      </c>
      <c r="D13" s="2">
        <v>0</v>
      </c>
      <c r="E13" s="2"/>
    </row>
    <row r="14" spans="1:5" ht="15">
      <c r="A14" s="2">
        <v>65</v>
      </c>
      <c r="B14" s="2">
        <v>2</v>
      </c>
      <c r="C14" s="10" t="s">
        <v>71</v>
      </c>
      <c r="D14" s="2">
        <v>0</v>
      </c>
      <c r="E14" s="2"/>
    </row>
    <row r="15" spans="1:5" ht="15">
      <c r="A15" s="2"/>
      <c r="B15" s="2"/>
      <c r="C15" s="17"/>
      <c r="D15" s="2"/>
      <c r="E15" s="2"/>
    </row>
    <row r="16" spans="1:4" ht="15">
      <c r="A16" s="2">
        <v>70</v>
      </c>
      <c r="B16" s="2">
        <v>0</v>
      </c>
      <c r="C16" s="10" t="s">
        <v>7</v>
      </c>
      <c r="D16" s="2">
        <f>SUM(D17:D24)</f>
        <v>0.5700000000000001</v>
      </c>
    </row>
    <row r="17" spans="1:5" ht="15">
      <c r="A17" s="2">
        <v>80</v>
      </c>
      <c r="B17" s="2">
        <v>3</v>
      </c>
      <c r="C17" s="10" t="s">
        <v>72</v>
      </c>
      <c r="D17" s="2">
        <v>0</v>
      </c>
      <c r="E17" s="2"/>
    </row>
    <row r="18" spans="1:5" ht="15">
      <c r="A18" s="2">
        <v>85</v>
      </c>
      <c r="B18" s="2">
        <v>3</v>
      </c>
      <c r="C18" s="10" t="s">
        <v>8</v>
      </c>
      <c r="D18" s="2">
        <v>0</v>
      </c>
      <c r="E18" s="2"/>
    </row>
    <row r="19" spans="1:5" ht="15">
      <c r="A19" s="2">
        <v>90</v>
      </c>
      <c r="B19" s="2">
        <v>3</v>
      </c>
      <c r="C19" s="10" t="s">
        <v>73</v>
      </c>
      <c r="D19" s="2">
        <v>0</v>
      </c>
      <c r="E19" s="2"/>
    </row>
    <row r="20" spans="1:5" ht="15">
      <c r="A20" s="2">
        <v>100</v>
      </c>
      <c r="B20" s="2">
        <v>3</v>
      </c>
      <c r="C20" s="10" t="s">
        <v>74</v>
      </c>
      <c r="D20" s="2">
        <v>0</v>
      </c>
      <c r="E20" s="2"/>
    </row>
    <row r="21" spans="1:5" ht="15">
      <c r="A21" s="2">
        <v>105</v>
      </c>
      <c r="B21" s="2">
        <v>3</v>
      </c>
      <c r="C21" s="10" t="s">
        <v>88</v>
      </c>
      <c r="D21" s="2">
        <v>0.45</v>
      </c>
      <c r="E21" s="2"/>
    </row>
    <row r="22" spans="1:5" ht="15">
      <c r="A22" s="2">
        <v>110</v>
      </c>
      <c r="B22" s="2">
        <v>3</v>
      </c>
      <c r="C22" s="10" t="s">
        <v>89</v>
      </c>
      <c r="D22" s="2">
        <v>0.12</v>
      </c>
      <c r="E22" s="2"/>
    </row>
    <row r="23" spans="1:5" ht="15">
      <c r="A23" s="2">
        <v>120</v>
      </c>
      <c r="B23" s="2">
        <v>3</v>
      </c>
      <c r="C23" s="10" t="s">
        <v>9</v>
      </c>
      <c r="D23" s="2">
        <v>0</v>
      </c>
      <c r="E23" s="2"/>
    </row>
    <row r="24" spans="1:5" ht="15">
      <c r="A24" s="2">
        <v>130</v>
      </c>
      <c r="B24" s="2">
        <v>3</v>
      </c>
      <c r="C24" s="10" t="s">
        <v>10</v>
      </c>
      <c r="D24" s="2">
        <v>0</v>
      </c>
      <c r="E24" s="2"/>
    </row>
    <row r="25" spans="1:5" ht="15">
      <c r="A25" s="2"/>
      <c r="B25" s="2"/>
      <c r="C25" s="17"/>
      <c r="D25" s="2"/>
      <c r="E25" s="2"/>
    </row>
    <row r="26" spans="1:4" ht="15">
      <c r="A26" s="2">
        <v>140</v>
      </c>
      <c r="B26" s="2">
        <v>0</v>
      </c>
      <c r="C26" s="10" t="s">
        <v>11</v>
      </c>
      <c r="D26" s="2">
        <v>0</v>
      </c>
    </row>
    <row r="27" spans="1:5" ht="15">
      <c r="A27" s="2">
        <v>145</v>
      </c>
      <c r="B27" s="2">
        <v>2</v>
      </c>
      <c r="C27" s="10" t="s">
        <v>12</v>
      </c>
      <c r="D27" s="2">
        <v>0</v>
      </c>
      <c r="E27" s="2"/>
    </row>
    <row r="28" spans="1:5" ht="15">
      <c r="A28" s="2">
        <v>150</v>
      </c>
      <c r="B28" s="2">
        <v>2</v>
      </c>
      <c r="C28" s="10" t="s">
        <v>13</v>
      </c>
      <c r="D28" s="2">
        <v>0</v>
      </c>
      <c r="E28" s="2"/>
    </row>
    <row r="29" spans="1:5" ht="15">
      <c r="A29" s="2"/>
      <c r="B29" s="2"/>
      <c r="C29" s="17"/>
      <c r="D29" s="2"/>
      <c r="E29" s="2"/>
    </row>
    <row r="30" spans="1:5" ht="15">
      <c r="A30" s="2">
        <v>160</v>
      </c>
      <c r="B30" s="2">
        <v>2</v>
      </c>
      <c r="C30" s="10" t="s">
        <v>75</v>
      </c>
      <c r="D30" s="2">
        <f>+D26+D16+D12+D7+D3</f>
        <v>0.9700000000000001</v>
      </c>
      <c r="E30" s="2"/>
    </row>
    <row r="31" spans="1:5" ht="15">
      <c r="A31" s="2"/>
      <c r="B31" s="2"/>
      <c r="C31" s="17"/>
      <c r="D31" s="2"/>
      <c r="E31" s="2"/>
    </row>
    <row r="32" spans="1:3" ht="15">
      <c r="A32" s="2">
        <v>162</v>
      </c>
      <c r="B32" s="2">
        <v>0</v>
      </c>
      <c r="C32" s="10" t="s">
        <v>14</v>
      </c>
    </row>
    <row r="33" spans="1:5" ht="31.5">
      <c r="A33" s="2">
        <v>165</v>
      </c>
      <c r="B33" s="2">
        <v>2</v>
      </c>
      <c r="C33" s="47" t="s">
        <v>64</v>
      </c>
      <c r="D33" s="21">
        <f>+(D26+D16+D12)/D35</f>
        <v>0.0008166189111747852</v>
      </c>
      <c r="E33" s="2"/>
    </row>
    <row r="34" spans="1:5" ht="31.5">
      <c r="A34" s="2">
        <v>167</v>
      </c>
      <c r="B34" s="2">
        <v>2</v>
      </c>
      <c r="C34" s="48" t="s">
        <v>65</v>
      </c>
      <c r="D34" s="21">
        <f>+D30/D35</f>
        <v>0.0013896848137535819</v>
      </c>
      <c r="E34" s="2"/>
    </row>
    <row r="35" spans="1:5" ht="15">
      <c r="A35" s="2">
        <v>170</v>
      </c>
      <c r="B35" s="2">
        <v>2</v>
      </c>
      <c r="C35" s="49" t="s">
        <v>107</v>
      </c>
      <c r="D35" s="50">
        <v>698</v>
      </c>
      <c r="E35" s="2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">
      <selection activeCell="F17" sqref="F17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71.28125" style="1" bestFit="1" customWidth="1"/>
    <col min="4" max="4" width="13.421875" style="1" bestFit="1" customWidth="1"/>
    <col min="5" max="5" width="11.8515625" style="1" bestFit="1" customWidth="1"/>
    <col min="6" max="16384" width="9.140625" style="1" customWidth="1"/>
  </cols>
  <sheetData>
    <row r="1" spans="2:13" ht="15">
      <c r="B1" s="45" t="s">
        <v>102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3:4" ht="14.25">
      <c r="C2" s="1" t="s">
        <v>0</v>
      </c>
      <c r="D2" s="1" t="s">
        <v>1</v>
      </c>
    </row>
    <row r="3" spans="1:4" ht="15">
      <c r="A3" s="2"/>
      <c r="B3" s="2"/>
      <c r="C3" s="10" t="s">
        <v>2</v>
      </c>
      <c r="D3" s="27">
        <f>SUM(D4:D5)</f>
        <v>32.13</v>
      </c>
    </row>
    <row r="4" spans="1:5" ht="15">
      <c r="A4" s="2"/>
      <c r="B4" s="2"/>
      <c r="C4" s="10" t="s">
        <v>67</v>
      </c>
      <c r="D4" s="27">
        <v>0.75</v>
      </c>
      <c r="E4" s="2"/>
    </row>
    <row r="5" spans="1:5" ht="15">
      <c r="A5" s="2"/>
      <c r="B5" s="2"/>
      <c r="C5" s="10" t="s">
        <v>68</v>
      </c>
      <c r="D5" s="27">
        <f>32.13-0.75</f>
        <v>31.380000000000003</v>
      </c>
      <c r="E5" s="2"/>
    </row>
    <row r="6" spans="1:5" ht="15">
      <c r="A6" s="2"/>
      <c r="B6" s="2"/>
      <c r="C6" s="17"/>
      <c r="D6" s="27"/>
      <c r="E6" s="2"/>
    </row>
    <row r="7" spans="1:4" ht="15">
      <c r="A7" s="2"/>
      <c r="B7" s="2"/>
      <c r="C7" s="34" t="s">
        <v>3</v>
      </c>
      <c r="D7" s="30">
        <f>SUM(D8:D9)</f>
        <v>3.57</v>
      </c>
    </row>
    <row r="8" spans="1:5" ht="15">
      <c r="A8" s="2"/>
      <c r="B8" s="2"/>
      <c r="C8" s="10" t="s">
        <v>4</v>
      </c>
      <c r="D8" s="27">
        <v>0</v>
      </c>
      <c r="E8" s="2"/>
    </row>
    <row r="9" spans="1:5" ht="15">
      <c r="A9" s="2"/>
      <c r="B9" s="2"/>
      <c r="C9" s="10" t="s">
        <v>5</v>
      </c>
      <c r="D9" s="27">
        <v>3.57</v>
      </c>
      <c r="E9" s="2"/>
    </row>
    <row r="10" spans="1:5" ht="15">
      <c r="A10" s="2"/>
      <c r="B10" s="2"/>
      <c r="C10" s="17"/>
      <c r="D10" s="27"/>
      <c r="E10" s="2"/>
    </row>
    <row r="11" spans="1:4" ht="15">
      <c r="A11" s="2"/>
      <c r="B11" s="2"/>
      <c r="C11" s="10" t="s">
        <v>69</v>
      </c>
      <c r="D11" s="32"/>
    </row>
    <row r="12" spans="1:5" ht="15">
      <c r="A12" s="2"/>
      <c r="B12" s="2"/>
      <c r="C12" s="10" t="s">
        <v>70</v>
      </c>
      <c r="D12" s="27">
        <v>0</v>
      </c>
      <c r="E12" s="2"/>
    </row>
    <row r="13" spans="1:5" ht="15">
      <c r="A13" s="2"/>
      <c r="B13" s="2"/>
      <c r="C13" s="10" t="s">
        <v>6</v>
      </c>
      <c r="D13" s="27">
        <v>0</v>
      </c>
      <c r="E13" s="2"/>
    </row>
    <row r="14" spans="1:5" ht="15">
      <c r="A14" s="2"/>
      <c r="B14" s="2"/>
      <c r="C14" s="10" t="s">
        <v>71</v>
      </c>
      <c r="D14" s="27">
        <v>0</v>
      </c>
      <c r="E14" s="2"/>
    </row>
    <row r="15" spans="1:5" ht="15">
      <c r="A15" s="2"/>
      <c r="B15" s="2"/>
      <c r="C15" s="17"/>
      <c r="D15" s="27"/>
      <c r="E15" s="2"/>
    </row>
    <row r="16" spans="1:4" ht="15">
      <c r="A16" s="2"/>
      <c r="B16" s="2"/>
      <c r="C16" s="10" t="s">
        <v>7</v>
      </c>
      <c r="D16" s="27">
        <f>SUM(D17:D24)</f>
        <v>118.32499999999999</v>
      </c>
    </row>
    <row r="17" spans="1:5" ht="15">
      <c r="A17" s="2"/>
      <c r="B17" s="2"/>
      <c r="C17" s="10" t="s">
        <v>72</v>
      </c>
      <c r="D17" s="27">
        <v>28.965</v>
      </c>
      <c r="E17" s="2"/>
    </row>
    <row r="18" spans="1:5" ht="15">
      <c r="A18" s="2"/>
      <c r="B18" s="2"/>
      <c r="C18" s="10" t="s">
        <v>8</v>
      </c>
      <c r="D18" s="27">
        <v>27.88</v>
      </c>
      <c r="E18" s="2"/>
    </row>
    <row r="19" spans="1:5" ht="15">
      <c r="A19" s="2"/>
      <c r="B19" s="2"/>
      <c r="C19" s="10" t="s">
        <v>73</v>
      </c>
      <c r="D19" s="27">
        <v>0</v>
      </c>
      <c r="E19" s="2"/>
    </row>
    <row r="20" spans="1:5" ht="15">
      <c r="A20" s="2"/>
      <c r="B20" s="2"/>
      <c r="C20" s="10" t="s">
        <v>74</v>
      </c>
      <c r="D20" s="27">
        <v>0</v>
      </c>
      <c r="E20" s="2"/>
    </row>
    <row r="21" spans="1:5" ht="15">
      <c r="A21" s="2"/>
      <c r="B21" s="2"/>
      <c r="C21" s="10" t="s">
        <v>88</v>
      </c>
      <c r="D21" s="2">
        <f>19.69-0.05</f>
        <v>19.64</v>
      </c>
      <c r="E21" s="2"/>
    </row>
    <row r="22" spans="1:5" ht="15">
      <c r="A22" s="2"/>
      <c r="B22" s="2"/>
      <c r="C22" s="10" t="s">
        <v>89</v>
      </c>
      <c r="D22" s="2">
        <v>20.93</v>
      </c>
      <c r="E22" s="2"/>
    </row>
    <row r="23" spans="1:5" ht="15">
      <c r="A23" s="2"/>
      <c r="B23" s="2"/>
      <c r="C23" s="10" t="s">
        <v>9</v>
      </c>
      <c r="D23" s="27">
        <v>0</v>
      </c>
      <c r="E23" s="2"/>
    </row>
    <row r="24" spans="1:5" ht="15">
      <c r="A24" s="2"/>
      <c r="B24" s="2"/>
      <c r="C24" s="10" t="s">
        <v>10</v>
      </c>
      <c r="D24" s="27">
        <v>20.91</v>
      </c>
      <c r="E24" s="2"/>
    </row>
    <row r="25" spans="1:5" ht="15">
      <c r="A25" s="2"/>
      <c r="B25" s="2"/>
      <c r="C25" s="17"/>
      <c r="D25" s="27"/>
      <c r="E25" s="2"/>
    </row>
    <row r="26" spans="1:4" ht="15">
      <c r="A26" s="2"/>
      <c r="B26" s="2"/>
      <c r="C26" s="10" t="s">
        <v>11</v>
      </c>
      <c r="D26" s="32"/>
    </row>
    <row r="27" spans="1:5" ht="15">
      <c r="A27" s="2"/>
      <c r="B27" s="2"/>
      <c r="C27" s="10" t="s">
        <v>12</v>
      </c>
      <c r="D27" s="27">
        <v>0</v>
      </c>
      <c r="E27" s="2"/>
    </row>
    <row r="28" spans="1:5" ht="15">
      <c r="A28" s="2"/>
      <c r="B28" s="2"/>
      <c r="C28" s="10" t="s">
        <v>13</v>
      </c>
      <c r="D28" s="27">
        <v>0</v>
      </c>
      <c r="E28" s="2"/>
    </row>
    <row r="29" spans="1:5" ht="15">
      <c r="A29" s="2"/>
      <c r="B29" s="2"/>
      <c r="C29" s="17"/>
      <c r="D29" s="27"/>
      <c r="E29" s="2"/>
    </row>
    <row r="30" spans="1:5" ht="15">
      <c r="A30" s="2"/>
      <c r="B30" s="2"/>
      <c r="C30" s="10" t="s">
        <v>75</v>
      </c>
      <c r="D30" s="27">
        <f>+D3+D7+D12+D16</f>
        <v>154.02499999999998</v>
      </c>
      <c r="E30" s="2"/>
    </row>
    <row r="31" spans="1:5" ht="15">
      <c r="A31" s="2"/>
      <c r="B31" s="2"/>
      <c r="C31" s="17"/>
      <c r="D31" s="27"/>
      <c r="E31" s="2"/>
    </row>
    <row r="32" spans="1:4" ht="15">
      <c r="A32" s="2"/>
      <c r="B32" s="2"/>
      <c r="C32" s="10" t="s">
        <v>14</v>
      </c>
      <c r="D32" s="32"/>
    </row>
    <row r="33" spans="1:5" ht="31.5">
      <c r="A33" s="2"/>
      <c r="B33" s="2"/>
      <c r="C33" s="47" t="s">
        <v>64</v>
      </c>
      <c r="D33" s="21">
        <f>+(D27+D16+D12)/D35</f>
        <v>0.0010554272105324186</v>
      </c>
      <c r="E33" s="2"/>
    </row>
    <row r="34" spans="1:5" ht="31.5">
      <c r="A34" s="2"/>
      <c r="B34" s="2"/>
      <c r="C34" s="48" t="s">
        <v>65</v>
      </c>
      <c r="D34" s="21">
        <f>+D30/D35</f>
        <v>0.0013738616192880268</v>
      </c>
      <c r="E34" s="2"/>
    </row>
    <row r="35" spans="1:5" ht="15">
      <c r="A35" s="2"/>
      <c r="B35" s="2"/>
      <c r="C35" s="49" t="s">
        <v>107</v>
      </c>
      <c r="D35" s="37">
        <v>112111</v>
      </c>
      <c r="E35" s="2"/>
    </row>
    <row r="38" ht="14.25">
      <c r="D38" s="42"/>
    </row>
    <row r="40" ht="14.25">
      <c r="D40" s="43"/>
    </row>
    <row r="41" ht="14.25">
      <c r="D41" s="44"/>
    </row>
    <row r="42" ht="14.25">
      <c r="D42" s="42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rightToLeft="1" zoomScale="90" zoomScaleNormal="90" zoomScalePageLayoutView="0" workbookViewId="0" topLeftCell="A1">
      <selection activeCell="D31" sqref="D31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5.421875" style="0" bestFit="1" customWidth="1"/>
    <col min="4" max="4" width="11.7109375" style="0" bestFit="1" customWidth="1"/>
    <col min="5" max="5" width="11.8515625" style="0" bestFit="1" customWidth="1"/>
    <col min="7" max="7" width="19.7109375" style="0" bestFit="1" customWidth="1"/>
  </cols>
  <sheetData>
    <row r="1" spans="2:9" s="1" customFormat="1" ht="15">
      <c r="B1" s="45" t="s">
        <v>104</v>
      </c>
      <c r="C1" s="46"/>
      <c r="D1" s="46"/>
      <c r="E1" s="46"/>
      <c r="F1" s="46"/>
      <c r="G1" s="46"/>
      <c r="H1" s="46"/>
      <c r="I1" s="46"/>
    </row>
    <row r="2" spans="3:4" ht="14.25">
      <c r="C2" t="s">
        <v>0</v>
      </c>
      <c r="D2" t="s">
        <v>1</v>
      </c>
    </row>
    <row r="3" spans="1:3" ht="15">
      <c r="A3" s="4"/>
      <c r="B3" s="4"/>
      <c r="C3" s="11" t="s">
        <v>15</v>
      </c>
    </row>
    <row r="4" spans="1:3" ht="15">
      <c r="A4" s="4"/>
      <c r="B4" s="4"/>
      <c r="C4" s="11" t="s">
        <v>16</v>
      </c>
    </row>
    <row r="5" spans="3:4" ht="14.25" hidden="1">
      <c r="C5" s="12"/>
      <c r="D5" s="23">
        <v>0</v>
      </c>
    </row>
    <row r="6" spans="3:7" ht="15">
      <c r="C6" s="11" t="s">
        <v>17</v>
      </c>
      <c r="D6" s="24">
        <f>D7</f>
        <v>14.6</v>
      </c>
      <c r="G6" s="12"/>
    </row>
    <row r="7" spans="1:7" ht="15">
      <c r="A7" s="4"/>
      <c r="B7" s="4"/>
      <c r="C7" s="12" t="s">
        <v>81</v>
      </c>
      <c r="D7" s="25">
        <v>14.6</v>
      </c>
      <c r="G7" s="12"/>
    </row>
    <row r="8" spans="3:7" ht="15">
      <c r="C8" s="11" t="s">
        <v>18</v>
      </c>
      <c r="D8" s="25"/>
      <c r="G8" s="12"/>
    </row>
    <row r="9" spans="1:7" ht="15">
      <c r="A9" s="4"/>
      <c r="B9" s="4"/>
      <c r="C9" s="12" t="s">
        <v>19</v>
      </c>
      <c r="D9">
        <f>360.6+29.32+0.37</f>
        <v>390.29</v>
      </c>
      <c r="G9" s="12"/>
    </row>
    <row r="10" spans="1:7" ht="15">
      <c r="A10" s="4"/>
      <c r="B10" s="4"/>
      <c r="C10" s="12" t="s">
        <v>20</v>
      </c>
      <c r="D10">
        <f>33.09+1.22+0.01</f>
        <v>34.32</v>
      </c>
      <c r="G10" s="12"/>
    </row>
    <row r="11" spans="3:7" ht="14.25">
      <c r="C11" s="12" t="s">
        <v>66</v>
      </c>
      <c r="D11">
        <f>13.52+0.84</f>
        <v>14.36</v>
      </c>
      <c r="G11" s="12"/>
    </row>
    <row r="12" spans="1:7" ht="15">
      <c r="A12" s="4"/>
      <c r="B12" s="4"/>
      <c r="C12" s="11" t="s">
        <v>21</v>
      </c>
      <c r="D12" s="24">
        <f>SUM(D9:D11)</f>
        <v>438.97</v>
      </c>
      <c r="E12" s="22"/>
      <c r="F12" s="33"/>
      <c r="G12" s="12"/>
    </row>
    <row r="13" spans="1:7" ht="15">
      <c r="A13" s="4"/>
      <c r="B13" s="4"/>
      <c r="C13" s="11" t="s">
        <v>22</v>
      </c>
      <c r="D13" s="24">
        <f>D12+D6</f>
        <v>453.57000000000005</v>
      </c>
      <c r="E13" s="4"/>
      <c r="G13" s="12"/>
    </row>
    <row r="14" spans="1:7" ht="15">
      <c r="A14" s="4"/>
      <c r="B14" s="4"/>
      <c r="C14" s="11" t="s">
        <v>23</v>
      </c>
      <c r="D14" s="13"/>
      <c r="G14" s="12"/>
    </row>
    <row r="15" spans="1:4" ht="15">
      <c r="A15" s="4"/>
      <c r="B15" s="4"/>
      <c r="C15" s="11" t="s">
        <v>16</v>
      </c>
      <c r="D15" s="13"/>
    </row>
    <row r="16" spans="3:4" ht="14.25">
      <c r="C16" s="12" t="s">
        <v>24</v>
      </c>
      <c r="D16" s="13">
        <v>0</v>
      </c>
    </row>
    <row r="17" spans="3:4" ht="14.25">
      <c r="C17" s="12" t="s">
        <v>25</v>
      </c>
      <c r="D17" s="13">
        <v>0</v>
      </c>
    </row>
    <row r="18" spans="3:4" ht="14.25">
      <c r="C18" s="12" t="s">
        <v>26</v>
      </c>
      <c r="D18" s="13">
        <v>0</v>
      </c>
    </row>
    <row r="19" spans="1:5" ht="15">
      <c r="A19" s="4"/>
      <c r="B19" s="4"/>
      <c r="C19" s="11" t="s">
        <v>17</v>
      </c>
      <c r="D19" s="14">
        <v>0</v>
      </c>
      <c r="E19" s="4"/>
    </row>
    <row r="20" spans="1:4" ht="15">
      <c r="A20" s="4"/>
      <c r="B20" s="4"/>
      <c r="C20" s="11" t="s">
        <v>18</v>
      </c>
      <c r="D20" s="13"/>
    </row>
    <row r="21" spans="3:4" ht="14.25">
      <c r="C21" s="8" t="s">
        <v>19</v>
      </c>
      <c r="D21" s="38">
        <v>61.77</v>
      </c>
    </row>
    <row r="22" spans="1:5" ht="15">
      <c r="A22" s="4"/>
      <c r="B22" s="4"/>
      <c r="C22" s="11" t="s">
        <v>21</v>
      </c>
      <c r="D22" s="24">
        <f>D21</f>
        <v>61.77</v>
      </c>
      <c r="E22" s="4"/>
    </row>
    <row r="23" spans="1:5" ht="15">
      <c r="A23" s="4"/>
      <c r="B23" s="4"/>
      <c r="C23" s="11" t="s">
        <v>27</v>
      </c>
      <c r="D23" s="24">
        <f>D22</f>
        <v>61.77</v>
      </c>
      <c r="E23" s="4"/>
    </row>
    <row r="24" spans="1:4" ht="15">
      <c r="A24" s="4"/>
      <c r="B24" s="4"/>
      <c r="C24" s="11" t="s">
        <v>28</v>
      </c>
      <c r="D24" s="13"/>
    </row>
    <row r="25" spans="3:4" ht="14.25">
      <c r="C25" s="8" t="s">
        <v>26</v>
      </c>
      <c r="D25" s="38">
        <f>מאוחד!D12</f>
        <v>115.833</v>
      </c>
    </row>
    <row r="26" spans="1:5" ht="15">
      <c r="A26" s="4"/>
      <c r="B26" s="4"/>
      <c r="C26" s="11" t="s">
        <v>29</v>
      </c>
      <c r="D26" s="24">
        <f>SUM(D25)</f>
        <v>115.833</v>
      </c>
      <c r="E26" s="4"/>
    </row>
    <row r="27" spans="1:4" ht="15">
      <c r="A27" s="4"/>
      <c r="B27" s="4"/>
      <c r="C27" s="11" t="s">
        <v>30</v>
      </c>
      <c r="D27" s="13"/>
    </row>
    <row r="28" spans="3:4" ht="14.25">
      <c r="C28" s="8" t="s">
        <v>26</v>
      </c>
      <c r="D28" s="38">
        <f>מאוחד!D14</f>
        <v>2493.539</v>
      </c>
    </row>
    <row r="29" spans="3:4" ht="14.25" hidden="1">
      <c r="C29" s="12" t="s">
        <v>32</v>
      </c>
      <c r="D29" s="13">
        <v>0</v>
      </c>
    </row>
    <row r="30" spans="3:4" ht="14.25" hidden="1">
      <c r="C30" s="12" t="s">
        <v>26</v>
      </c>
      <c r="D30" s="13">
        <v>0</v>
      </c>
    </row>
    <row r="31" spans="1:5" ht="15">
      <c r="A31" s="4"/>
      <c r="B31" s="4"/>
      <c r="C31" s="11" t="s">
        <v>33</v>
      </c>
      <c r="D31" s="24">
        <f>SUM(D28:D30)</f>
        <v>2493.539</v>
      </c>
      <c r="E31" s="4"/>
    </row>
    <row r="32" spans="1:4" ht="15">
      <c r="A32" s="4"/>
      <c r="B32" s="4"/>
      <c r="C32" s="11" t="s">
        <v>34</v>
      </c>
      <c r="D32" s="13"/>
    </row>
    <row r="33" spans="3:4" ht="14.25">
      <c r="C33" s="12" t="s">
        <v>31</v>
      </c>
      <c r="D33" s="13">
        <v>0</v>
      </c>
    </row>
    <row r="34" spans="3:4" ht="14.25">
      <c r="C34" s="12" t="s">
        <v>26</v>
      </c>
      <c r="D34" s="13">
        <v>0</v>
      </c>
    </row>
    <row r="35" spans="1:5" ht="15">
      <c r="A35" s="4"/>
      <c r="B35" s="4"/>
      <c r="C35" s="11" t="s">
        <v>35</v>
      </c>
      <c r="D35" s="14">
        <v>0</v>
      </c>
      <c r="E35" s="4"/>
    </row>
    <row r="36" spans="1:4" ht="15">
      <c r="A36" s="4"/>
      <c r="B36" s="4"/>
      <c r="C36" s="11" t="s">
        <v>36</v>
      </c>
      <c r="D36" s="13"/>
    </row>
    <row r="37" spans="3:4" ht="14.25">
      <c r="C37" s="12" t="s">
        <v>31</v>
      </c>
      <c r="D37" s="13">
        <v>0</v>
      </c>
    </row>
    <row r="38" spans="3:4" ht="14.25">
      <c r="C38" s="12" t="s">
        <v>26</v>
      </c>
      <c r="D38" s="13">
        <v>0</v>
      </c>
    </row>
    <row r="39" spans="1:5" ht="15">
      <c r="A39" s="4"/>
      <c r="B39" s="4"/>
      <c r="C39" s="11" t="s">
        <v>37</v>
      </c>
      <c r="D39" s="14">
        <v>0</v>
      </c>
      <c r="E39" s="4"/>
    </row>
    <row r="40" spans="1:5" ht="15">
      <c r="A40" s="4"/>
      <c r="B40" s="4"/>
      <c r="C40" s="11" t="s">
        <v>38</v>
      </c>
      <c r="D40" s="35">
        <f>D7+D12+D22+D25+D31</f>
        <v>3124.7120000000004</v>
      </c>
      <c r="E40" s="4"/>
    </row>
    <row r="41" spans="1:5" ht="15">
      <c r="A41" s="4"/>
      <c r="B41" s="4"/>
      <c r="C41" s="16" t="s">
        <v>77</v>
      </c>
      <c r="D41" s="14">
        <f>מאוחד!D36</f>
        <v>1713874</v>
      </c>
      <c r="E41" s="4"/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rightToLeft="1" zoomScalePageLayoutView="0" workbookViewId="0" topLeftCell="A24">
      <selection activeCell="D29" sqref="D29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3.28125" style="0" bestFit="1" customWidth="1"/>
    <col min="4" max="4" width="11.7109375" style="0" bestFit="1" customWidth="1"/>
    <col min="5" max="5" width="21.421875" style="0" bestFit="1" customWidth="1"/>
    <col min="6" max="6" width="46.421875" style="0" bestFit="1" customWidth="1"/>
    <col min="7" max="7" width="21.7109375" style="0" bestFit="1" customWidth="1"/>
  </cols>
  <sheetData>
    <row r="1" spans="2:11" s="1" customFormat="1" ht="15">
      <c r="B1" s="45" t="s">
        <v>105</v>
      </c>
      <c r="C1" s="46"/>
      <c r="D1" s="46"/>
      <c r="E1" s="46"/>
      <c r="F1" s="46"/>
      <c r="G1" s="46"/>
      <c r="H1" s="46"/>
      <c r="I1" s="46"/>
      <c r="J1" s="46"/>
      <c r="K1" s="46"/>
    </row>
    <row r="2" spans="3:4" ht="14.25">
      <c r="C2" t="s">
        <v>0</v>
      </c>
      <c r="D2" t="s">
        <v>1</v>
      </c>
    </row>
    <row r="3" spans="1:3" ht="15">
      <c r="A3" s="4"/>
      <c r="B3" s="4"/>
      <c r="C3" s="11" t="s">
        <v>39</v>
      </c>
    </row>
    <row r="4" spans="3:4" ht="14.25">
      <c r="C4" s="12" t="s">
        <v>40</v>
      </c>
      <c r="D4" s="13"/>
    </row>
    <row r="5" spans="3:4" ht="14.25">
      <c r="C5" s="12" t="s">
        <v>26</v>
      </c>
      <c r="D5" s="25">
        <f>מאוחד!D17</f>
        <v>1451.617</v>
      </c>
    </row>
    <row r="6" spans="3:4" ht="14.25" hidden="1">
      <c r="C6" s="12"/>
      <c r="D6" s="25"/>
    </row>
    <row r="7" spans="3:4" ht="14.25" hidden="1">
      <c r="C7" s="12"/>
      <c r="D7" s="25"/>
    </row>
    <row r="8" spans="3:4" ht="14.25" hidden="1">
      <c r="C8" s="12"/>
      <c r="D8" s="25"/>
    </row>
    <row r="9" spans="3:4" ht="14.25" hidden="1">
      <c r="C9" s="12"/>
      <c r="D9" s="25"/>
    </row>
    <row r="10" spans="3:5" ht="15">
      <c r="C10" s="11" t="s">
        <v>41</v>
      </c>
      <c r="D10" s="24">
        <f>SUM(D5:D9)</f>
        <v>1451.617</v>
      </c>
      <c r="E10" s="33"/>
    </row>
    <row r="11" spans="1:5" ht="15">
      <c r="A11" s="4"/>
      <c r="B11" s="4"/>
      <c r="C11" s="11" t="s">
        <v>42</v>
      </c>
      <c r="D11" s="13"/>
      <c r="E11" s="4"/>
    </row>
    <row r="12" spans="1:4" ht="15">
      <c r="A12" s="4"/>
      <c r="B12" s="4"/>
      <c r="C12" s="12" t="s">
        <v>43</v>
      </c>
      <c r="D12" s="24"/>
    </row>
    <row r="13" spans="1:4" ht="15">
      <c r="A13" s="4"/>
      <c r="B13" s="4"/>
      <c r="C13" s="12" t="s">
        <v>26</v>
      </c>
      <c r="D13" s="25">
        <f>מאוחד!D18</f>
        <v>560.313</v>
      </c>
    </row>
    <row r="14" spans="3:5" ht="15">
      <c r="C14" s="11" t="s">
        <v>44</v>
      </c>
      <c r="D14" s="24">
        <f>SUM(D13)</f>
        <v>560.313</v>
      </c>
      <c r="E14" s="33"/>
    </row>
    <row r="15" spans="3:4" ht="15">
      <c r="C15" s="11" t="s">
        <v>45</v>
      </c>
      <c r="D15" s="13"/>
    </row>
    <row r="16" spans="3:4" ht="14.25">
      <c r="C16" s="12" t="s">
        <v>31</v>
      </c>
      <c r="D16" s="13">
        <v>0</v>
      </c>
    </row>
    <row r="17" spans="1:5" ht="15">
      <c r="A17" s="4"/>
      <c r="B17" s="4"/>
      <c r="C17" s="12" t="s">
        <v>32</v>
      </c>
      <c r="D17" s="13">
        <v>0</v>
      </c>
      <c r="E17" s="4"/>
    </row>
    <row r="18" spans="1:4" ht="15">
      <c r="A18" s="4"/>
      <c r="B18" s="4"/>
      <c r="C18" s="12" t="s">
        <v>26</v>
      </c>
      <c r="D18" s="13">
        <v>0</v>
      </c>
    </row>
    <row r="19" spans="3:4" ht="15">
      <c r="C19" s="11" t="s">
        <v>46</v>
      </c>
      <c r="D19" s="14">
        <v>0</v>
      </c>
    </row>
    <row r="20" spans="3:4" ht="15">
      <c r="C20" s="11" t="s">
        <v>47</v>
      </c>
      <c r="D20" s="13"/>
    </row>
    <row r="21" spans="3:4" ht="14.25">
      <c r="C21" s="12" t="s">
        <v>31</v>
      </c>
      <c r="D21" s="13">
        <v>0</v>
      </c>
    </row>
    <row r="22" spans="1:5" ht="15">
      <c r="A22" s="4"/>
      <c r="B22" s="4"/>
      <c r="C22" s="12" t="s">
        <v>32</v>
      </c>
      <c r="D22" s="13">
        <v>0</v>
      </c>
      <c r="E22" s="4"/>
    </row>
    <row r="23" spans="1:4" ht="15">
      <c r="A23" s="4"/>
      <c r="B23" s="4"/>
      <c r="C23" s="12" t="s">
        <v>26</v>
      </c>
      <c r="D23" s="13">
        <v>0</v>
      </c>
    </row>
    <row r="24" spans="1:4" ht="15">
      <c r="A24" s="4"/>
      <c r="B24" s="4"/>
      <c r="C24" s="11" t="s">
        <v>48</v>
      </c>
      <c r="D24" s="14">
        <v>0</v>
      </c>
    </row>
    <row r="25" spans="3:4" ht="15">
      <c r="C25" s="11" t="s">
        <v>49</v>
      </c>
      <c r="D25" s="13"/>
    </row>
    <row r="26" spans="1:5" ht="15">
      <c r="A26" s="4"/>
      <c r="B26" s="4"/>
      <c r="C26" s="11" t="s">
        <v>50</v>
      </c>
      <c r="D26" s="13"/>
      <c r="E26" s="4"/>
    </row>
    <row r="27" spans="1:5" ht="15">
      <c r="A27" s="4"/>
      <c r="B27" s="4"/>
      <c r="C27" s="12" t="s">
        <v>99</v>
      </c>
      <c r="D27">
        <v>0.01</v>
      </c>
      <c r="E27" s="4"/>
    </row>
    <row r="28" spans="1:5" ht="15">
      <c r="A28" s="4"/>
      <c r="B28" s="4"/>
      <c r="C28" s="12" t="s">
        <v>97</v>
      </c>
      <c r="D28">
        <v>4.45</v>
      </c>
      <c r="E28" s="4"/>
    </row>
    <row r="29" spans="1:4" ht="15">
      <c r="A29" s="4"/>
      <c r="B29" s="4"/>
      <c r="C29" s="11" t="s">
        <v>51</v>
      </c>
      <c r="D29" s="36">
        <f>SUM(D27:D28)</f>
        <v>4.46</v>
      </c>
    </row>
    <row r="30" spans="1:4" ht="15">
      <c r="A30" s="4"/>
      <c r="B30" s="4"/>
      <c r="C30" s="11" t="s">
        <v>52</v>
      </c>
      <c r="D30" s="15">
        <v>0</v>
      </c>
    </row>
    <row r="31" spans="1:4" ht="15">
      <c r="A31" s="4"/>
      <c r="B31" s="4"/>
      <c r="C31" s="12" t="s">
        <v>82</v>
      </c>
      <c r="D31">
        <v>0.58</v>
      </c>
    </row>
    <row r="32" spans="1:4" ht="15">
      <c r="A32" s="4"/>
      <c r="B32" s="4"/>
      <c r="C32" s="12" t="s">
        <v>85</v>
      </c>
      <c r="D32">
        <f>403.09+20.91</f>
        <v>424</v>
      </c>
    </row>
    <row r="33" spans="1:4" ht="15">
      <c r="A33" s="4"/>
      <c r="B33" s="4"/>
      <c r="C33" s="12" t="s">
        <v>83</v>
      </c>
      <c r="D33">
        <v>66.47</v>
      </c>
    </row>
    <row r="34" spans="1:4" ht="15" hidden="1">
      <c r="A34" s="4"/>
      <c r="B34" s="4"/>
      <c r="C34" s="12"/>
      <c r="D34">
        <v>0</v>
      </c>
    </row>
    <row r="35" spans="1:4" ht="15" hidden="1">
      <c r="A35" s="4"/>
      <c r="B35" s="4"/>
      <c r="C35" s="12"/>
      <c r="D35">
        <v>0</v>
      </c>
    </row>
    <row r="36" spans="1:4" ht="15" hidden="1">
      <c r="A36" s="4"/>
      <c r="B36" s="4"/>
      <c r="C36" s="12"/>
      <c r="D36">
        <v>0</v>
      </c>
    </row>
    <row r="37" spans="1:4" ht="15" hidden="1">
      <c r="A37" s="4"/>
      <c r="B37" s="4"/>
      <c r="C37" s="12"/>
      <c r="D37">
        <v>0</v>
      </c>
    </row>
    <row r="38" spans="1:4" ht="15" hidden="1">
      <c r="A38" s="4"/>
      <c r="B38" s="4"/>
      <c r="C38" s="12"/>
      <c r="D38">
        <v>0</v>
      </c>
    </row>
    <row r="39" spans="1:4" ht="15" hidden="1">
      <c r="A39" s="4"/>
      <c r="B39" s="4"/>
      <c r="C39" s="12"/>
      <c r="D39">
        <v>0</v>
      </c>
    </row>
    <row r="40" spans="1:4" ht="15" hidden="1">
      <c r="A40" s="4"/>
      <c r="B40" s="4"/>
      <c r="C40" s="12"/>
      <c r="D40">
        <v>0</v>
      </c>
    </row>
    <row r="41" spans="3:4" ht="14.25" hidden="1">
      <c r="C41" s="12"/>
      <c r="D41">
        <v>0</v>
      </c>
    </row>
    <row r="42" spans="1:6" ht="15">
      <c r="A42" s="4"/>
      <c r="B42" s="4"/>
      <c r="C42" s="11" t="s">
        <v>53</v>
      </c>
      <c r="D42" s="26">
        <f>SUM(D31:D41)</f>
        <v>491.04999999999995</v>
      </c>
      <c r="F42" s="33"/>
    </row>
    <row r="43" spans="1:6" ht="15">
      <c r="A43" s="4"/>
      <c r="B43" s="4"/>
      <c r="C43" s="11" t="s">
        <v>54</v>
      </c>
      <c r="D43" s="26">
        <f>D42+D29</f>
        <v>495.50999999999993</v>
      </c>
      <c r="F43" s="33"/>
    </row>
    <row r="44" spans="1:6" ht="15">
      <c r="A44" s="4"/>
      <c r="B44" s="4"/>
      <c r="C44" s="11" t="s">
        <v>91</v>
      </c>
      <c r="D44" s="13"/>
      <c r="F44" s="12"/>
    </row>
    <row r="45" spans="1:6" ht="15">
      <c r="A45" s="4"/>
      <c r="B45" s="4"/>
      <c r="C45" s="11" t="s">
        <v>92</v>
      </c>
      <c r="D45" s="13"/>
      <c r="F45" s="12"/>
    </row>
    <row r="46" spans="1:6" ht="15">
      <c r="A46" s="4"/>
      <c r="B46" s="4"/>
      <c r="C46" s="12" t="s">
        <v>96</v>
      </c>
      <c r="D46">
        <f>90.79+0.06</f>
        <v>90.85000000000001</v>
      </c>
      <c r="F46" s="12"/>
    </row>
    <row r="47" spans="1:6" ht="15">
      <c r="A47" s="4"/>
      <c r="B47" s="4"/>
      <c r="C47" s="12" t="s">
        <v>106</v>
      </c>
      <c r="D47">
        <f>108.13+0.07</f>
        <v>108.19999999999999</v>
      </c>
      <c r="F47" s="12"/>
    </row>
    <row r="48" spans="3:6" ht="14.25">
      <c r="C48" s="12" t="s">
        <v>97</v>
      </c>
      <c r="D48">
        <v>7.83</v>
      </c>
      <c r="F48" s="12"/>
    </row>
    <row r="49" spans="3:6" ht="14.25">
      <c r="C49" s="12" t="s">
        <v>86</v>
      </c>
      <c r="D49">
        <f>10.48+0.1</f>
        <v>10.58</v>
      </c>
      <c r="F49" s="12"/>
    </row>
    <row r="50" spans="3:6" ht="14.25">
      <c r="C50" s="12" t="s">
        <v>87</v>
      </c>
      <c r="D50">
        <f>50.58+0.19</f>
        <v>50.769999999999996</v>
      </c>
      <c r="F50" s="12"/>
    </row>
    <row r="51" spans="3:7" ht="14.25">
      <c r="C51" s="12" t="s">
        <v>98</v>
      </c>
      <c r="D51">
        <f>11.02+0.03</f>
        <v>11.049999999999999</v>
      </c>
      <c r="F51" s="12"/>
      <c r="G51" s="12"/>
    </row>
    <row r="52" spans="3:6" ht="15">
      <c r="C52" s="11" t="s">
        <v>93</v>
      </c>
      <c r="D52" s="35">
        <f>SUM(D46:D51)</f>
        <v>279.28000000000003</v>
      </c>
      <c r="E52" s="33"/>
      <c r="F52" s="12"/>
    </row>
    <row r="53" spans="3:6" ht="15">
      <c r="C53" s="11" t="s">
        <v>94</v>
      </c>
      <c r="D53" s="13"/>
      <c r="F53" s="12"/>
    </row>
    <row r="54" spans="3:6" ht="14.25">
      <c r="C54" s="12" t="s">
        <v>84</v>
      </c>
      <c r="D54">
        <f>120.47+0.08+1.84</f>
        <v>122.39</v>
      </c>
      <c r="F54" s="12"/>
    </row>
    <row r="55" spans="3:6" ht="14.25" hidden="1">
      <c r="C55" s="12"/>
      <c r="F55" s="12"/>
    </row>
    <row r="56" spans="3:6" ht="14.25">
      <c r="C56" s="12" t="s">
        <v>26</v>
      </c>
      <c r="D56" s="33">
        <f>539.99+0.04+19.09</f>
        <v>559.12</v>
      </c>
      <c r="F56" s="12"/>
    </row>
    <row r="57" spans="3:6" ht="15">
      <c r="C57" s="11" t="s">
        <v>95</v>
      </c>
      <c r="D57" s="24">
        <f>SUM(D54:D56)</f>
        <v>681.51</v>
      </c>
      <c r="E57" s="33"/>
      <c r="F57" s="12"/>
    </row>
    <row r="58" spans="3:4" ht="15">
      <c r="C58" s="11" t="s">
        <v>90</v>
      </c>
      <c r="D58" s="24">
        <f>+D57+D52</f>
        <v>960.79</v>
      </c>
    </row>
    <row r="59" spans="3:4" ht="15">
      <c r="C59" s="11" t="s">
        <v>55</v>
      </c>
      <c r="D59" s="24">
        <f>+D58+D43+D14+D10</f>
        <v>3468.2299999999996</v>
      </c>
    </row>
    <row r="60" spans="3:4" ht="15">
      <c r="C60" s="11" t="s">
        <v>77</v>
      </c>
      <c r="D60" s="14">
        <f>מאוחד!D36</f>
        <v>1713874</v>
      </c>
    </row>
    <row r="64" ht="14.25">
      <c r="C64" s="12"/>
    </row>
    <row r="65" ht="14.25">
      <c r="C65" s="12"/>
    </row>
    <row r="66" ht="14.25">
      <c r="C66" s="12"/>
    </row>
    <row r="67" ht="14.25">
      <c r="C67" s="12"/>
    </row>
    <row r="68" ht="14.25">
      <c r="C68" s="12"/>
    </row>
    <row r="69" ht="14.25">
      <c r="C69" s="12"/>
    </row>
    <row r="70" ht="14.25">
      <c r="C70" s="12"/>
    </row>
    <row r="71" ht="14.25">
      <c r="C71" s="12"/>
    </row>
    <row r="72" ht="14.25">
      <c r="C72" s="12"/>
    </row>
    <row r="73" ht="14.25">
      <c r="C73" s="12"/>
    </row>
    <row r="74" ht="14.25">
      <c r="C74" s="12"/>
    </row>
    <row r="75" ht="14.25">
      <c r="C75" s="12"/>
    </row>
    <row r="76" ht="14.25">
      <c r="C76" s="12"/>
    </row>
    <row r="77" ht="14.25">
      <c r="C77" s="12"/>
    </row>
    <row r="78" ht="14.25">
      <c r="C78" s="12"/>
    </row>
    <row r="79" ht="14.25">
      <c r="C79" s="12"/>
    </row>
    <row r="80" ht="14.25">
      <c r="C80" s="12"/>
    </row>
    <row r="81" ht="14.25">
      <c r="C81" s="12"/>
    </row>
    <row r="82" ht="14.25">
      <c r="C82" s="12"/>
    </row>
    <row r="83" ht="14.25">
      <c r="C83" s="12"/>
    </row>
    <row r="84" ht="14.25">
      <c r="C84" s="12"/>
    </row>
    <row r="85" ht="14.25">
      <c r="C85" s="12"/>
    </row>
    <row r="86" ht="14.25">
      <c r="C86" s="12"/>
    </row>
    <row r="87" ht="14.25">
      <c r="C87" s="12"/>
    </row>
  </sheetData>
  <sheetProtection/>
  <mergeCells count="1">
    <mergeCell ref="B1:K1"/>
  </mergeCells>
  <conditionalFormatting sqref="C56:C87">
    <cfRule type="duplicateValues" priority="6" dxfId="4" stopIfTrue="1">
      <formula>AND(COUNTIF($C$56:$C$87,C56)&gt;1,NOT(ISBLANK(C56)))</formula>
    </cfRule>
  </conditionalFormatting>
  <conditionalFormatting sqref="C54:C55">
    <cfRule type="duplicateValues" priority="7" dxfId="4" stopIfTrue="1">
      <formula>AND(COUNTIF($C$54:$C$55,C54)&gt;1,NOT(ISBLANK(C54)))</formula>
    </cfRule>
  </conditionalFormatting>
  <conditionalFormatting sqref="F1:F65536">
    <cfRule type="duplicateValues" priority="2" dxfId="4" stopIfTrue="1">
      <formula>AND(COUNTIF($F$1:$F$65536,F1)&gt;1,NOT(ISBLANK(F1)))</formula>
    </cfRule>
  </conditionalFormatting>
  <conditionalFormatting sqref="C51">
    <cfRule type="duplicateValues" priority="1" dxfId="4" stopIfTrue="1">
      <formula>AND(COUNTIF($C$51:$C$51,C51)&gt;1,NOT(ISBLANK(C51)))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Sveta</cp:lastModifiedBy>
  <cp:lastPrinted>2018-02-05T12:38:40Z</cp:lastPrinted>
  <dcterms:created xsi:type="dcterms:W3CDTF">2017-08-03T06:46:24Z</dcterms:created>
  <dcterms:modified xsi:type="dcterms:W3CDTF">2021-02-01T14:44:18Z</dcterms:modified>
  <cp:category/>
  <cp:version/>
  <cp:contentType/>
  <cp:contentStatus/>
</cp:coreProperties>
</file>