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0620" tabRatio="845" activeTab="5"/>
  </bookViews>
  <sheets>
    <sheet name="מאוחד" sheetId="1" r:id="rId1"/>
    <sheet name="עד 50" sheetId="2" r:id="rId2"/>
    <sheet name="לבני 50 עד 60" sheetId="3" r:id="rId3"/>
    <sheet name="60 ומעלה" sheetId="4" r:id="rId4"/>
    <sheet name="פרוט עמלות והוצאות" sheetId="5" r:id="rId5"/>
    <sheet name="פרוט עמלות ניהול חיצוני" sheetId="6" r:id="rId6"/>
  </sheets>
  <definedNames>
    <definedName name="_xlfn.IFERROR" hidden="1">#NAME?</definedName>
    <definedName name="_xlnm.Print_Area" localSheetId="5">'פרוט עמלות ניהול חיצוני'!$C$2:$D$2</definedName>
  </definedNames>
  <calcPr fullCalcOnLoad="1"/>
</workbook>
</file>

<file path=xl/sharedStrings.xml><?xml version="1.0" encoding="utf-8"?>
<sst xmlns="http://schemas.openxmlformats.org/spreadsheetml/2006/main" count="280" uniqueCount="175">
  <si>
    <t>תאור</t>
  </si>
  <si>
    <t>אלפי ש''ח</t>
  </si>
  <si>
    <t>1. סה"כ עמלות קניה ומכירה</t>
  </si>
  <si>
    <t>2. סה"כ עמלות קסטודיאן</t>
  </si>
  <si>
    <t>א. סך עמלות קסטודיאן לצדדים קשורים</t>
  </si>
  <si>
    <t>ב. סך עמלות קסטודיאן לצדדים שאינם קשורים</t>
  </si>
  <si>
    <t>ב. סך הוצאות הנובעות ממימון פרויקטים לתשתיות</t>
  </si>
  <si>
    <t>4. סה"כ עמלות ניהול חיצוני</t>
  </si>
  <si>
    <t>ב. סך תשלומים הנובעים מהשקעה בקרנות השקעה בחו"ל</t>
  </si>
  <si>
    <t>ז. סך תשלומים בגין השקעה בקרנות נאמנות ישראליות</t>
  </si>
  <si>
    <t>ח. 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</si>
  <si>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</si>
  <si>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</si>
  <si>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</si>
  <si>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7. שיעור הוצאות ישירות</t>
  </si>
  <si>
    <t>ברוקרז-עמלות קניה ומכירה בגין עסקאות בני"ע סחירים</t>
  </si>
  <si>
    <t>צדדים קשורים</t>
  </si>
  <si>
    <t>סה"כ לצדדים קשורים</t>
  </si>
  <si>
    <t>צדדים שאינם קשורים</t>
  </si>
  <si>
    <t>סה"כ לצדדים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</si>
  <si>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</si>
  <si>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</si>
  <si>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</si>
  <si>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</si>
  <si>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</si>
  <si>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</si>
  <si>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</si>
  <si>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סך הוצאות הנובעות מהשקעה בני"ע לא סחירים וממתן הלוואה</t>
  </si>
  <si>
    <t>הוצאה הנובעת מהשקעה בזכויות במקרקעין</t>
  </si>
  <si>
    <t>גוף/יחיד א</t>
  </si>
  <si>
    <t>גוף/יחיד ב</t>
  </si>
  <si>
    <t>סך הוצאות הנובעות מהשקעה בזכויות במקרקעין</t>
  </si>
  <si>
    <t>הוצאה הנובעת בעד ניהול תביעה או תובנה</t>
  </si>
  <si>
    <t>סך הוצאות הנובעות בעד ניהול תביעה או תובנה</t>
  </si>
  <si>
    <t>הוצאה הנובעת ממתן משכנתא</t>
  </si>
  <si>
    <t>סך הוצאות בעד מתן משכנתאות</t>
  </si>
  <si>
    <t>סך הכול עמלות והוצאות</t>
  </si>
  <si>
    <t>תשלום הנובע מהשקעה בקרנות השקעה בישראלים</t>
  </si>
  <si>
    <t>פרוט מהשקעות בקרנות השקעה בישראל</t>
  </si>
  <si>
    <t>סך תשלומים הנובעים מהשקעה בקרנות השקעה בישראלים</t>
  </si>
  <si>
    <t>תשלום הנובע מהשקעה בקרנות השקעה בחו"ל</t>
  </si>
  <si>
    <t>פרוט מהשקעות בקרנות השקעה בחו"ל</t>
  </si>
  <si>
    <t>סך תשלומים הנובעים מהשקעה בקרנות השקעה בחו"ל</t>
  </si>
  <si>
    <t>תשלום למנהל תיקים ישראלי</t>
  </si>
  <si>
    <t>סך תשלומים למנהלי תיקים ישראליים</t>
  </si>
  <si>
    <t>תשלום למנהל תיקים זר</t>
  </si>
  <si>
    <t>סך תשלומים למנהלי תיקים זרים</t>
  </si>
  <si>
    <t>תשלום בגין השקעה בקרנות נאמנות</t>
  </si>
  <si>
    <t>קרן נאמנות ישראלים</t>
  </si>
  <si>
    <t>סה"כ קרן נאמנות ישראלים</t>
  </si>
  <si>
    <t>קרן חוץ</t>
  </si>
  <si>
    <t>סה"כ קרנות נאמנות חוץ</t>
  </si>
  <si>
    <t>סך תשלומים בגין השקעה בקרנות נאמנות</t>
  </si>
  <si>
    <t>סך הכול עמלות ניהול חיצוני</t>
  </si>
  <si>
    <t>א. סך עמלות ברוקראז לצדדים קשורים</t>
  </si>
  <si>
    <t>ב. סך עמלות ברוקראז לצדדים שאינם קשורים</t>
  </si>
  <si>
    <t>3. סה"כ הוצאות מהשקעות לא סחירות</t>
  </si>
  <si>
    <t>ג. סך הוצאות הנובעות מהשקעה בזכויות במקרקעין</t>
  </si>
  <si>
    <t xml:space="preserve">א.סך תשלומים הנובעים מהשקעה בקרנות השקעה בישראל </t>
  </si>
  <si>
    <t>ג. סך תשלומים למנהלי תיקים ישראלים בגין השקעה בחו"ל</t>
  </si>
  <si>
    <t xml:space="preserve">ד. סך תשלומים למנהלי תיקים זרים </t>
  </si>
  <si>
    <t>6. סה"כ הוצאות ישירות (סיכום סעיפים 1 עד 5)</t>
  </si>
  <si>
    <t>בנק לאומי</t>
  </si>
  <si>
    <t>א. סך עמלות קניה ומכירה לצדדים קשורים</t>
  </si>
  <si>
    <t>ב. סך עמלות קניה ומכירה לצדדים שאינם קשורים</t>
  </si>
  <si>
    <t>3. סה"כ מהשקעות לא סחירות</t>
  </si>
  <si>
    <t>א. סך הוצאות הנובעות מהשקעה בני"ע לא סחירים שאינם לצורך מימון פרויקטים</t>
  </si>
  <si>
    <t>ג. סך הוצאות הנובעות מהשקעה בזכויות מקרקעין</t>
  </si>
  <si>
    <t>א. סך תשלומים הנובעים מהשקעה בקרנות השקעה בישראל</t>
  </si>
  <si>
    <t>ג. סך תשלומים למנהלי תיקים ישראלים בגין השקעות בחו"ל</t>
  </si>
  <si>
    <t>ד. סך תשלומים למנהלי תיקים זרים</t>
  </si>
  <si>
    <t>6. סה"כ הכול הוצאות ישירות</t>
  </si>
  <si>
    <t>8. סך הכל יתרת נכסים ממוצעת</t>
  </si>
  <si>
    <t xml:space="preserve"> סך הכל יתרת נכסים ממוצעת</t>
  </si>
  <si>
    <t>סך הכל יתרת נכסים ממוצעת</t>
  </si>
  <si>
    <t>א. סך הוצאות הנובעות מהשקעה בניירות ערך לא סחירים שאינם לצורך מימון פרויקטים לתשתיות</t>
  </si>
  <si>
    <t>מיטב ד"ש</t>
  </si>
  <si>
    <t>פסגות קרנות נאמנות בע"מ</t>
  </si>
  <si>
    <t>ה. סך תשלומים בגין השקעה בקרנות סל ישראליות</t>
  </si>
  <si>
    <t>ו. סך תשלומים בגין השקעה בקרנות סל זרות</t>
  </si>
  <si>
    <t>סך תשלומים בגין השקעה בקרנות סל</t>
  </si>
  <si>
    <t>תשלום בגין השקעה בקרנות סל</t>
  </si>
  <si>
    <t>קרנות סל ישראלים</t>
  </si>
  <si>
    <t>סה"כ קרנות סל ישראלים</t>
  </si>
  <si>
    <t>קרנות סל זרה</t>
  </si>
  <si>
    <t>סה"כ קרנות סל זרות</t>
  </si>
  <si>
    <t>קסם קרנות נאמנות בע"מ</t>
  </si>
  <si>
    <t>מגדל קרנות נאמנות בע"מ</t>
  </si>
  <si>
    <t xml:space="preserve">יתרת נכסים סוף שנה קודמת </t>
  </si>
  <si>
    <t xml:space="preserve">יתרת נכסים לסוף שנה קודמת </t>
  </si>
  <si>
    <t>KOTAK FUNDS - INDIA MIDCA</t>
  </si>
  <si>
    <t>NINETY ONE GLOBAL STRATEG</t>
  </si>
  <si>
    <t>COMGEST GROWTH PLC - EURO</t>
  </si>
  <si>
    <t>PRINCIPAL GLOBAL INVESTOR</t>
  </si>
  <si>
    <t>בנק הפועלים</t>
  </si>
  <si>
    <t>הראל קרנות נאמנות בע"מ</t>
  </si>
  <si>
    <t>LYXOR STOXX EUROPE 600 BA</t>
  </si>
  <si>
    <t>TECHNOLOGY SELECT SECTOR</t>
  </si>
  <si>
    <t>HEALTH CARE SELECT SECTOR</t>
  </si>
  <si>
    <t>FINANCIAL SELECT SECTOR S</t>
  </si>
  <si>
    <t>MATERIALS SELECT SECTOR S</t>
  </si>
  <si>
    <t>ISHARES MSCI SOUTH KOREA</t>
  </si>
  <si>
    <t>ENERGY SELECT SECTOR SPDR</t>
  </si>
  <si>
    <t>ISHARES MSCI PACIFIC EX J</t>
  </si>
  <si>
    <t>UTILITIES SELECT SECTOR S</t>
  </si>
  <si>
    <t>SPDR S&amp;P BIOTECH ETF</t>
  </si>
  <si>
    <t>INDUSTRIAL SELECT SECTOR</t>
  </si>
  <si>
    <t>WISDOMTREE INDIA EARNINGS</t>
  </si>
  <si>
    <t>ISHARES MSCI INDIA ETF</t>
  </si>
  <si>
    <t>WISDOMTREE EUROPE HEDGED</t>
  </si>
  <si>
    <t>VANGUARD FTSE ALL-WORLD E</t>
  </si>
  <si>
    <t>ISHARES USD HIGH YIELD CO</t>
  </si>
  <si>
    <t>VANECK VECTORS GOLD MINER</t>
  </si>
  <si>
    <t>INVESCO S&amp;P 500 EQUAL WEI</t>
  </si>
  <si>
    <t>INVESCO AEROSPACE &amp; DEFEN</t>
  </si>
  <si>
    <t>INVESCO KBW BANK ETF</t>
  </si>
  <si>
    <t>COMMUNICATION SERVICES SE</t>
  </si>
  <si>
    <t>KRANESHARES CSI CHINA INT</t>
  </si>
  <si>
    <t>HORIZON S&amp;P/TSX 60 INDEX</t>
  </si>
  <si>
    <t>VANGUARD FTSE 250 UCITS E</t>
  </si>
  <si>
    <t>ISHARES STOXX EUROPE 600</t>
  </si>
  <si>
    <t>FIRST TRUST NASDAQ CLEAN</t>
  </si>
  <si>
    <t>ISHARES HANG SENG TECH ET</t>
  </si>
  <si>
    <t>ISHARES CORE DAX UCITS ET</t>
  </si>
  <si>
    <t>INVESCO DYNAMIC SEMICONDU</t>
  </si>
  <si>
    <t>ISHARES PLC - ISHARES COR</t>
  </si>
  <si>
    <t>ISHARES JP MORGAN USD EME</t>
  </si>
  <si>
    <t>GLOBAL X US INFRASTRUCTUR</t>
  </si>
  <si>
    <t>WISDOMTREE EMERGING MARKE</t>
  </si>
  <si>
    <t>VANGUARD S&amp;P 500 ETF</t>
  </si>
  <si>
    <t>ISHARES BIOTECHNOLOGY ETF</t>
  </si>
  <si>
    <t>XTRACKERS MSCI EAFE HEDGE</t>
  </si>
  <si>
    <t>ISHARES MSCI BRAZIL ETF</t>
  </si>
  <si>
    <t>VANGUARD REAL ESTATE ETF</t>
  </si>
  <si>
    <t>VANGUARD FTSE EMERGING MA</t>
  </si>
  <si>
    <t>ISHARES CHINA LARGE-CAP E</t>
  </si>
  <si>
    <t>ISHARES U.S. MEDICAL DEVI</t>
  </si>
  <si>
    <t>ISHARES MSCI ALL COUNTRY</t>
  </si>
  <si>
    <t>ISHARES U.S. HEALTHCARE P</t>
  </si>
  <si>
    <t>AMUNDI INDEX MSCI WORLD U</t>
  </si>
  <si>
    <t>AMUNDI MSCI EUROPE QUALIT</t>
  </si>
  <si>
    <t>SPDR MSCI EUROPE CONSUMER</t>
  </si>
  <si>
    <t>PACER FUNDS TRUST-PACER B</t>
  </si>
  <si>
    <t>ISHARES U.S. BROKER-DEALE</t>
  </si>
  <si>
    <t>ISHARES MSCI ACWI EX US E</t>
  </si>
  <si>
    <t>ISHARES MSCI CHINA ETF</t>
  </si>
  <si>
    <t>LYXOR STOXX EUROPE 600 FO</t>
  </si>
  <si>
    <t>LYXOR STOXX EUROPE 600 HE</t>
  </si>
  <si>
    <t>REAL ESTATE SELECT SECTOR</t>
  </si>
  <si>
    <t>FIRST TRUST NASDAQ-100 TE</t>
  </si>
  <si>
    <t>CONSUMER DISCRETIONARY SE</t>
  </si>
  <si>
    <t>XTRACKERS NIKKEI 225 UCIT</t>
  </si>
  <si>
    <t>SPDR BLOOMBERG SASB US CO</t>
  </si>
  <si>
    <t>SCHWAB US DIVIDEND EQUITY</t>
  </si>
  <si>
    <t>ISHARES USD SHORT DURATIO</t>
  </si>
  <si>
    <t>INVESCO US HIGH YIELD FAL</t>
  </si>
  <si>
    <t>IBI Brokerage</t>
  </si>
  <si>
    <t>VANECK VECTORS SEMICONDUC</t>
  </si>
  <si>
    <t>INVESCO S&amp;P 500 LOW VOLAT</t>
  </si>
  <si>
    <t>Camalia Directs Clients</t>
  </si>
  <si>
    <t>בנק מזרחי</t>
  </si>
  <si>
    <t>מור ניהול קרנות נאמנות</t>
  </si>
  <si>
    <t>ב. שיעור סך הוצאות ישירות מתוך יתרת נכסים ממוצעת (באחוזים)</t>
  </si>
  <si>
    <t>VANGUARD S&amp;P MID-CAP 400</t>
  </si>
  <si>
    <t>א. שיעור סך ההוצאות הישירות, שההוצאה בגינן מוגבלת לשיעור של 0.5% לפי התקנות (באחוזים) (סיכום סעיפים 3א, 4, 5ב חלקי סך נכסים לסוף שנה קודמת)</t>
  </si>
  <si>
    <t xml:space="preserve">קופת התגמולים לעובדי האוניברסיטה העברית  מספר אישור: סך התשלומים ששולמו בגין כל סוג של הוצאה ישירה לשנה המסתיימת ב 31.12.2023  נספח 1 </t>
  </si>
  <si>
    <t>Smithbarney</t>
  </si>
  <si>
    <t>AMUNDI CAC 40 UCITS ETF</t>
  </si>
  <si>
    <t>SPDR S&amp;P 500 ETF TRUST</t>
  </si>
  <si>
    <t>INVESCO S&amp;P 500 UCITS ETF</t>
  </si>
  <si>
    <t xml:space="preserve">  קופת התגמולים לעובדי האוניברסיטה העברית  עד 50 סך התשלומים ששולמו בגין כל סוג של הוצאה ישירהלשנה המסתיימת ב 31.12.2023    נספח 1 </t>
  </si>
  <si>
    <t xml:space="preserve">קופת התגמולים לעובדי האוניברסיטה העברית  לבני 50 עד 60 סך התשלומים ששולמו בגין כל סוג של הוצאה ישירהלשנה המסתיימת ב 31.12.2023   נספח 1 </t>
  </si>
  <si>
    <t xml:space="preserve">  קופת התגמולים לעובדי האוניברסיטה העברית  60 ומעלה סך התשלומים ששולמו בגין כל סוג של הוצאה ישירה לשנה המסתיימת ב 31.12.2023   נספח 1 </t>
  </si>
  <si>
    <t xml:space="preserve">קופת התגמולים לעובדי האוניברסיטה העברית  סך התשלומים ששולמו בגין כל סוג של הוצאה ישירה לשנה המסתיימת ב 31.12.2023    נספח 2 </t>
  </si>
  <si>
    <t xml:space="preserve">קופת התגמולים לעובדי האוניברסיטה העברית  סך התשלומים ששולמו בגין כל סוג של הוצאה ישירה לשנה המסתיימת ב 31.12.2023  נספח 3 </t>
  </si>
</sst>
</file>

<file path=xl/styles.xml><?xml version="1.0" encoding="utf-8"?>
<styleSheet xmlns="http://schemas.openxmlformats.org/spreadsheetml/2006/main">
  <numFmts count="3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₪&quot;\ #,##0_);\(&quot;₪&quot;\ #,##0\)"/>
    <numFmt numFmtId="165" formatCode="&quot;₪&quot;\ #,##0_);[Red]\(&quot;₪&quot;\ #,##0\)"/>
    <numFmt numFmtId="166" formatCode="&quot;₪&quot;\ #,##0.00_);\(&quot;₪&quot;\ #,##0.00\)"/>
    <numFmt numFmtId="167" formatCode="&quot;₪&quot;\ #,##0.00_);[Red]\(&quot;₪&quot;\ #,##0.00\)"/>
    <numFmt numFmtId="168" formatCode="_(&quot;₪&quot;\ * #,##0_);_(&quot;₪&quot;\ * \(#,##0\);_(&quot;₪&quot;\ * &quot;-&quot;_);_(@_)"/>
    <numFmt numFmtId="169" formatCode="_(* #,##0_);_(* \(#,##0\);_(* &quot;-&quot;_);_(@_)"/>
    <numFmt numFmtId="170" formatCode="_(&quot;₪&quot;\ * #,##0.00_);_(&quot;₪&quot;\ * \(#,##0.00\);_(&quot;₪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%"/>
    <numFmt numFmtId="179" formatCode="_(* #,##0.0_);_(* \(#,##0.0\);_(* &quot;-&quot;??_);_(@_)"/>
    <numFmt numFmtId="180" formatCode="_(* #,##0_);_(* \(#,##0\);_(* &quot;-&quot;??_);_(@_)"/>
    <numFmt numFmtId="181" formatCode="_ * #,##0.0_ ;_ * \-#,##0.0_ ;_ * &quot;-&quot;??_ ;_ @_ "/>
    <numFmt numFmtId="182" formatCode="_ * #,##0_ ;_ * \-#,##0_ ;_ * &quot;-&quot;??_ ;_ @_ "/>
    <numFmt numFmtId="183" formatCode="#,##0.0"/>
    <numFmt numFmtId="184" formatCode="0.000"/>
    <numFmt numFmtId="185" formatCode="#,##0.000"/>
    <numFmt numFmtId="186" formatCode="#,##0.0000"/>
    <numFmt numFmtId="187" formatCode="0.0"/>
    <numFmt numFmtId="188" formatCode="0.000%"/>
    <numFmt numFmtId="189" formatCode="0.00000"/>
    <numFmt numFmtId="190" formatCode="0.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2"/>
      <color indexed="8"/>
      <name val="David"/>
      <family val="2"/>
    </font>
    <font>
      <sz val="9"/>
      <color indexed="8"/>
      <name val="Arial"/>
      <family val="2"/>
    </font>
    <font>
      <sz val="9"/>
      <color indexed="56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2"/>
      <color theme="1"/>
      <name val="David"/>
      <family val="2"/>
    </font>
    <font>
      <sz val="9"/>
      <color theme="1"/>
      <name val="Calibri"/>
      <family val="2"/>
    </font>
    <font>
      <sz val="9"/>
      <color rgb="FF003060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169" fontId="0" fillId="0" borderId="0" applyFont="0" applyFill="0" applyBorder="0" applyAlignment="0" applyProtection="0"/>
    <xf numFmtId="0" fontId="41" fillId="30" borderId="2" applyNumberFormat="0" applyAlignment="0" applyProtection="0"/>
    <xf numFmtId="0" fontId="42" fillId="31" borderId="0" applyNumberFormat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readingOrder="2"/>
    </xf>
    <xf numFmtId="0" fontId="39" fillId="0" borderId="0" xfId="0" applyFont="1" applyAlignment="1">
      <alignment readingOrder="2"/>
    </xf>
    <xf numFmtId="4" fontId="39" fillId="0" borderId="0" xfId="0" applyNumberFormat="1" applyFont="1" applyAlignment="1">
      <alignment readingOrder="2"/>
    </xf>
    <xf numFmtId="0" fontId="39" fillId="0" borderId="0" xfId="0" applyFont="1" applyAlignment="1">
      <alignment/>
    </xf>
    <xf numFmtId="0" fontId="45" fillId="0" borderId="0" xfId="37" applyFont="1" applyFill="1" applyBorder="1" applyAlignment="1" applyProtection="1">
      <alignment horizontal="right" wrapText="1" readingOrder="2"/>
      <protection/>
    </xf>
    <xf numFmtId="0" fontId="45" fillId="0" borderId="0" xfId="37" applyFont="1" applyFill="1" applyBorder="1" applyAlignment="1" applyProtection="1">
      <alignment horizontal="right" wrapText="1" indent="3" readingOrder="2"/>
      <protection/>
    </xf>
    <xf numFmtId="10" fontId="39" fillId="0" borderId="0" xfId="38" applyNumberFormat="1" applyFont="1" applyAlignment="1">
      <alignment readingOrder="2"/>
    </xf>
    <xf numFmtId="0" fontId="0" fillId="0" borderId="0" xfId="0" applyFill="1" applyAlignment="1">
      <alignment horizontal="right"/>
    </xf>
    <xf numFmtId="0" fontId="39" fillId="0" borderId="0" xfId="0" applyFont="1" applyAlignment="1">
      <alignment horizontal="right" readingOrder="2"/>
    </xf>
    <xf numFmtId="0" fontId="39" fillId="0" borderId="0" xfId="0" applyFont="1" applyAlignment="1">
      <alignment horizontal="right"/>
    </xf>
    <xf numFmtId="0" fontId="0" fillId="0" borderId="0" xfId="0" applyAlignment="1">
      <alignment horizontal="right"/>
    </xf>
    <xf numFmtId="180" fontId="0" fillId="0" borderId="0" xfId="33" applyNumberFormat="1" applyFont="1" applyAlignment="1">
      <alignment/>
    </xf>
    <xf numFmtId="180" fontId="39" fillId="0" borderId="0" xfId="33" applyNumberFormat="1" applyFont="1" applyAlignment="1">
      <alignment/>
    </xf>
    <xf numFmtId="180" fontId="39" fillId="0" borderId="0" xfId="33" applyNumberFormat="1" applyFont="1" applyFill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 readingOrder="2"/>
    </xf>
    <xf numFmtId="0" fontId="39" fillId="0" borderId="0" xfId="0" applyFont="1" applyAlignment="1">
      <alignment horizontal="right" readingOrder="2"/>
    </xf>
    <xf numFmtId="0" fontId="0" fillId="0" borderId="0" xfId="0" applyFill="1" applyAlignment="1">
      <alignment readingOrder="2"/>
    </xf>
    <xf numFmtId="3" fontId="39" fillId="0" borderId="0" xfId="0" applyNumberFormat="1" applyFont="1" applyFill="1" applyAlignment="1">
      <alignment readingOrder="2"/>
    </xf>
    <xf numFmtId="10" fontId="39" fillId="0" borderId="0" xfId="38" applyNumberFormat="1" applyFont="1" applyFill="1" applyAlignment="1">
      <alignment readingOrder="2"/>
    </xf>
    <xf numFmtId="180" fontId="39" fillId="0" borderId="0" xfId="0" applyNumberFormat="1" applyFont="1" applyAlignment="1">
      <alignment/>
    </xf>
    <xf numFmtId="171" fontId="39" fillId="0" borderId="0" xfId="33" applyFont="1" applyAlignment="1">
      <alignment/>
    </xf>
    <xf numFmtId="171" fontId="39" fillId="0" borderId="0" xfId="33" applyFont="1" applyFill="1" applyAlignment="1">
      <alignment/>
    </xf>
    <xf numFmtId="171" fontId="39" fillId="0" borderId="0" xfId="33" applyFont="1" applyAlignment="1">
      <alignment readingOrder="2"/>
    </xf>
    <xf numFmtId="171" fontId="0" fillId="0" borderId="0" xfId="33" applyFont="1" applyAlignment="1">
      <alignment readingOrder="2"/>
    </xf>
    <xf numFmtId="171" fontId="39" fillId="0" borderId="0" xfId="33" applyFont="1" applyFill="1" applyAlignment="1">
      <alignment readingOrder="2"/>
    </xf>
    <xf numFmtId="171" fontId="0" fillId="0" borderId="0" xfId="33" applyFont="1" applyFill="1" applyAlignment="1">
      <alignment readingOrder="2"/>
    </xf>
    <xf numFmtId="171" fontId="0" fillId="0" borderId="0" xfId="33" applyFont="1" applyAlignment="1">
      <alignment readingOrder="2"/>
    </xf>
    <xf numFmtId="43" fontId="0" fillId="0" borderId="0" xfId="0" applyNumberFormat="1" applyAlignment="1">
      <alignment/>
    </xf>
    <xf numFmtId="0" fontId="39" fillId="0" borderId="0" xfId="0" applyFont="1" applyFill="1" applyAlignment="1">
      <alignment horizontal="right" readingOrder="2"/>
    </xf>
    <xf numFmtId="171" fontId="39" fillId="0" borderId="0" xfId="33" applyNumberFormat="1" applyFont="1" applyAlignment="1">
      <alignment/>
    </xf>
    <xf numFmtId="171" fontId="39" fillId="0" borderId="0" xfId="33" applyFont="1" applyFill="1" applyAlignment="1">
      <alignment horizontal="right"/>
    </xf>
    <xf numFmtId="3" fontId="39" fillId="0" borderId="0" xfId="0" applyNumberFormat="1" applyFont="1" applyAlignment="1">
      <alignment readingOrder="2"/>
    </xf>
    <xf numFmtId="171" fontId="0" fillId="0" borderId="0" xfId="33" applyFont="1" applyFill="1" applyAlignment="1">
      <alignment/>
    </xf>
    <xf numFmtId="43" fontId="39" fillId="0" borderId="0" xfId="0" applyNumberFormat="1" applyFont="1" applyAlignment="1">
      <alignment readingOrder="2"/>
    </xf>
    <xf numFmtId="10" fontId="0" fillId="0" borderId="0" xfId="0" applyNumberFormat="1" applyAlignment="1">
      <alignment readingOrder="2"/>
    </xf>
    <xf numFmtId="43" fontId="0" fillId="0" borderId="0" xfId="0" applyNumberFormat="1" applyAlignment="1">
      <alignment readingOrder="2"/>
    </xf>
    <xf numFmtId="4" fontId="0" fillId="0" borderId="0" xfId="0" applyNumberFormat="1" applyAlignment="1">
      <alignment readingOrder="2"/>
    </xf>
    <xf numFmtId="171" fontId="0" fillId="0" borderId="0" xfId="33" applyFont="1" applyAlignment="1">
      <alignment readingOrder="2"/>
    </xf>
    <xf numFmtId="171" fontId="0" fillId="0" borderId="0" xfId="33" applyFont="1" applyAlignment="1">
      <alignment readingOrder="2"/>
    </xf>
    <xf numFmtId="4" fontId="39" fillId="0" borderId="0" xfId="0" applyNumberFormat="1" applyFont="1" applyAlignment="1">
      <alignment/>
    </xf>
    <xf numFmtId="180" fontId="0" fillId="0" borderId="0" xfId="33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39" fillId="0" borderId="0" xfId="0" applyFont="1" applyAlignment="1">
      <alignment horizontal="right" readingOrder="2"/>
    </xf>
    <xf numFmtId="0" fontId="0" fillId="0" borderId="0" xfId="0" applyFont="1" applyAlignment="1">
      <alignment readingOrder="2"/>
    </xf>
    <xf numFmtId="0" fontId="0" fillId="0" borderId="0" xfId="0" applyNumberFormat="1" applyFont="1" applyAlignment="1">
      <alignment/>
    </xf>
    <xf numFmtId="0" fontId="39" fillId="0" borderId="0" xfId="0" applyFont="1" applyAlignment="1">
      <alignment horizontal="right" readingOrder="2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" fontId="46" fillId="0" borderId="0" xfId="0" applyNumberFormat="1" applyFont="1" applyAlignment="1">
      <alignment/>
    </xf>
    <xf numFmtId="171" fontId="0" fillId="0" borderId="0" xfId="33" applyFont="1" applyAlignment="1">
      <alignment readingOrder="2"/>
    </xf>
    <xf numFmtId="0" fontId="39" fillId="0" borderId="0" xfId="0" applyFont="1" applyFill="1" applyAlignment="1">
      <alignment horizontal="right"/>
    </xf>
    <xf numFmtId="171" fontId="39" fillId="0" borderId="0" xfId="33" applyNumberFormat="1" applyFont="1" applyFill="1" applyAlignment="1">
      <alignment/>
    </xf>
    <xf numFmtId="2" fontId="39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171" fontId="48" fillId="0" borderId="0" xfId="33" applyFont="1" applyFill="1" applyAlignment="1">
      <alignment readingOrder="2"/>
    </xf>
    <xf numFmtId="0" fontId="0" fillId="0" borderId="0" xfId="0" applyFill="1" applyAlignment="1">
      <alignment/>
    </xf>
    <xf numFmtId="0" fontId="39" fillId="0" borderId="0" xfId="0" applyFont="1" applyAlignment="1">
      <alignment horizontal="right" wrapText="1" readingOrder="2"/>
    </xf>
    <xf numFmtId="189" fontId="39" fillId="0" borderId="0" xfId="0" applyNumberFormat="1" applyFont="1" applyAlignment="1">
      <alignment readingOrder="2"/>
    </xf>
    <xf numFmtId="0" fontId="39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39" fillId="0" borderId="0" xfId="0" applyFont="1" applyAlignment="1">
      <alignment horizontal="right" readingOrder="2"/>
    </xf>
    <xf numFmtId="0" fontId="0" fillId="0" borderId="0" xfId="0" applyAlignment="1">
      <alignment horizontal="right" readingOrder="2"/>
    </xf>
    <xf numFmtId="0" fontId="3" fillId="0" borderId="0" xfId="0" applyNumberFormat="1" applyFont="1" applyFill="1" applyAlignment="1">
      <alignment/>
    </xf>
  </cellXfs>
  <cellStyles count="52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Normal 25" xfId="36"/>
    <cellStyle name="Normal 3" xfId="37"/>
    <cellStyle name="Percent" xfId="38"/>
    <cellStyle name="הדגשה1" xfId="39"/>
    <cellStyle name="הדגשה2" xfId="40"/>
    <cellStyle name="הדגשה3" xfId="41"/>
    <cellStyle name="הדגשה4" xfId="42"/>
    <cellStyle name="הדגשה5" xfId="43"/>
    <cellStyle name="הדגשה6" xfId="44"/>
    <cellStyle name="Hyperlink" xfId="45"/>
    <cellStyle name="Followed Hyperlink" xfId="46"/>
    <cellStyle name="הערה" xfId="47"/>
    <cellStyle name="חישוב" xfId="48"/>
    <cellStyle name="טוב" xfId="49"/>
    <cellStyle name="טקסט אזהרה" xfId="50"/>
    <cellStyle name="טקסט הסברי" xfId="51"/>
    <cellStyle name="כותרת" xfId="52"/>
    <cellStyle name="כותרת 1" xfId="53"/>
    <cellStyle name="כותרת 2" xfId="54"/>
    <cellStyle name="כותרת 3" xfId="55"/>
    <cellStyle name="כותרת 4" xfId="56"/>
    <cellStyle name="Currency [0]" xfId="57"/>
    <cellStyle name="ניטראלי" xfId="58"/>
    <cellStyle name="סה&quot;כ" xfId="59"/>
    <cellStyle name="פלט" xfId="60"/>
    <cellStyle name="Comma [0]" xfId="61"/>
    <cellStyle name="קלט" xfId="62"/>
    <cellStyle name="רע" xfId="63"/>
    <cellStyle name="תא מסומן" xfId="64"/>
    <cellStyle name="תא מקושר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rightToLeft="1" zoomScale="98" zoomScaleNormal="98" zoomScalePageLayoutView="0" workbookViewId="0" topLeftCell="A1">
      <selection activeCell="F12" sqref="F12"/>
    </sheetView>
  </sheetViews>
  <sheetFormatPr defaultColWidth="9.140625" defaultRowHeight="15"/>
  <cols>
    <col min="1" max="1" width="10.7109375" style="1" bestFit="1" customWidth="1"/>
    <col min="2" max="2" width="9.00390625" style="1" bestFit="1" customWidth="1"/>
    <col min="3" max="3" width="57.7109375" style="1" customWidth="1"/>
    <col min="4" max="4" width="16.28125" style="1" customWidth="1"/>
    <col min="5" max="5" width="7.28125" style="1" customWidth="1"/>
    <col min="6" max="6" width="12.421875" style="1" bestFit="1" customWidth="1"/>
    <col min="7" max="8" width="9.140625" style="1" customWidth="1"/>
    <col min="9" max="9" width="12.28125" style="1" bestFit="1" customWidth="1"/>
    <col min="10" max="16384" width="9.140625" style="1" customWidth="1"/>
  </cols>
  <sheetData>
    <row r="1" ht="15">
      <c r="B1" s="2" t="s">
        <v>165</v>
      </c>
    </row>
    <row r="2" spans="3:4" ht="15">
      <c r="C2" s="2" t="s">
        <v>0</v>
      </c>
      <c r="D2" s="2" t="s">
        <v>1</v>
      </c>
    </row>
    <row r="3" spans="1:6" ht="15.75">
      <c r="A3" s="2"/>
      <c r="B3" s="2"/>
      <c r="C3" s="5" t="s">
        <v>2</v>
      </c>
      <c r="D3" s="35">
        <f>D4+D5</f>
        <v>411.82</v>
      </c>
      <c r="E3" s="2"/>
      <c r="F3" s="37"/>
    </row>
    <row r="4" spans="1:6" ht="15.75">
      <c r="A4" s="2"/>
      <c r="B4" s="2"/>
      <c r="C4" s="6" t="s">
        <v>54</v>
      </c>
      <c r="D4" s="24">
        <f>'עד 50'!D4+'60 ומעלה'!D4+'לבני 50 עד 60'!D4</f>
        <v>31.540000000000003</v>
      </c>
      <c r="E4" s="2"/>
      <c r="F4" s="37"/>
    </row>
    <row r="5" spans="1:7" ht="15.75">
      <c r="A5" s="2"/>
      <c r="B5" s="2"/>
      <c r="C5" s="6" t="s">
        <v>55</v>
      </c>
      <c r="D5" s="2">
        <f>'עד 50'!D5+'60 ומעלה'!D5+'לבני 50 עד 60'!D5</f>
        <v>380.28</v>
      </c>
      <c r="E5" s="59"/>
      <c r="F5" s="37"/>
      <c r="G5" s="37"/>
    </row>
    <row r="6" spans="1:7" ht="15.75">
      <c r="A6" s="2"/>
      <c r="B6" s="2"/>
      <c r="C6" s="6"/>
      <c r="E6" s="2"/>
      <c r="F6" s="37"/>
      <c r="G6" s="37"/>
    </row>
    <row r="7" spans="1:7" ht="15.75">
      <c r="A7" s="2"/>
      <c r="B7" s="2"/>
      <c r="C7" s="5" t="s">
        <v>3</v>
      </c>
      <c r="D7" s="24">
        <f>SUM(D8:D9)</f>
        <v>102.11</v>
      </c>
      <c r="E7" s="2"/>
      <c r="F7" s="37"/>
      <c r="G7" s="37"/>
    </row>
    <row r="8" spans="1:7" ht="15.75">
      <c r="A8" s="2"/>
      <c r="B8" s="2"/>
      <c r="C8" s="6" t="s">
        <v>4</v>
      </c>
      <c r="D8" s="25">
        <v>0</v>
      </c>
      <c r="E8" s="2"/>
      <c r="F8" s="37"/>
      <c r="G8" s="37"/>
    </row>
    <row r="9" spans="1:7" ht="15.75">
      <c r="A9" s="2"/>
      <c r="B9" s="2"/>
      <c r="C9" s="6" t="s">
        <v>5</v>
      </c>
      <c r="D9" s="26">
        <f>'עד 50'!D9+'60 ומעלה'!D9+'לבני 50 עד 60'!D9</f>
        <v>102.11</v>
      </c>
      <c r="E9" s="2"/>
      <c r="F9" s="37"/>
      <c r="G9" s="37"/>
    </row>
    <row r="10" spans="1:7" ht="15.75">
      <c r="A10" s="2"/>
      <c r="B10" s="2"/>
      <c r="C10" s="6"/>
      <c r="D10" s="25"/>
      <c r="E10" s="2"/>
      <c r="F10" s="37"/>
      <c r="G10" s="37"/>
    </row>
    <row r="11" spans="1:8" ht="15.75">
      <c r="A11" s="2"/>
      <c r="B11" s="2"/>
      <c r="C11" s="5" t="s">
        <v>56</v>
      </c>
      <c r="D11" s="24">
        <f>D12+D13+D14</f>
        <v>3394.382857</v>
      </c>
      <c r="E11" s="2"/>
      <c r="F11" s="37"/>
      <c r="G11" s="37"/>
      <c r="H11" s="37"/>
    </row>
    <row r="12" spans="1:7" ht="31.5">
      <c r="A12" s="2"/>
      <c r="B12" s="2"/>
      <c r="C12" s="6" t="s">
        <v>75</v>
      </c>
      <c r="D12" s="24">
        <f>'עד 50'!D13+'לבני 50 עד 60'!D12+'60 ומעלה'!D12</f>
        <v>116.65812</v>
      </c>
      <c r="E12" s="2"/>
      <c r="F12" s="37"/>
      <c r="G12" s="37"/>
    </row>
    <row r="13" spans="1:7" ht="15.75">
      <c r="A13" s="2"/>
      <c r="B13" s="2"/>
      <c r="C13" s="6" t="s">
        <v>6</v>
      </c>
      <c r="D13" s="24">
        <f>'עד 50'!D14+'לבני 50 עד 60'!D13+'60 ומעלה'!D13</f>
        <v>447.716877</v>
      </c>
      <c r="E13" s="2"/>
      <c r="F13" s="37"/>
      <c r="G13" s="37"/>
    </row>
    <row r="14" spans="1:7" ht="15.75">
      <c r="A14" s="2"/>
      <c r="B14" s="2"/>
      <c r="C14" s="6" t="s">
        <v>57</v>
      </c>
      <c r="D14" s="24">
        <f>'עד 50'!D15+'לבני 50 עד 60'!D14+'60 ומעלה'!D14</f>
        <v>2830.00786</v>
      </c>
      <c r="E14" s="2"/>
      <c r="F14" s="37"/>
      <c r="G14" s="37"/>
    </row>
    <row r="15" spans="1:7" ht="15.75">
      <c r="A15" s="2"/>
      <c r="B15" s="2"/>
      <c r="C15" s="6"/>
      <c r="D15" s="25"/>
      <c r="E15" s="2"/>
      <c r="F15" s="37"/>
      <c r="G15" s="37"/>
    </row>
    <row r="16" spans="1:7" ht="15.75">
      <c r="A16" s="2"/>
      <c r="B16" s="2"/>
      <c r="C16" s="5" t="s">
        <v>7</v>
      </c>
      <c r="D16" s="24">
        <f>SUM(D17:D24)</f>
        <v>7799.87739</v>
      </c>
      <c r="E16" s="2"/>
      <c r="F16" s="37"/>
      <c r="G16" s="37"/>
    </row>
    <row r="17" spans="1:7" ht="15.75">
      <c r="A17" s="2"/>
      <c r="B17" s="2"/>
      <c r="C17" s="6" t="s">
        <v>58</v>
      </c>
      <c r="D17" s="26">
        <f>'עד 50'!D18+'60 ומעלה'!D17+'לבני 50 עד 60'!D17</f>
        <v>2251.40166</v>
      </c>
      <c r="E17" s="2"/>
      <c r="F17" s="37"/>
      <c r="G17" s="37"/>
    </row>
    <row r="18" spans="1:7" ht="15.75">
      <c r="A18" s="2"/>
      <c r="B18" s="2"/>
      <c r="C18" s="6" t="s">
        <v>8</v>
      </c>
      <c r="D18" s="26">
        <f>'עד 50'!D19+'60 ומעלה'!D18+'לבני 50 עד 60'!D18</f>
        <v>3967.57573</v>
      </c>
      <c r="E18" s="2"/>
      <c r="F18" s="37"/>
      <c r="G18" s="37"/>
    </row>
    <row r="19" spans="1:7" ht="15.75">
      <c r="A19" s="2"/>
      <c r="B19" s="2"/>
      <c r="C19" s="6" t="s">
        <v>59</v>
      </c>
      <c r="D19" s="26">
        <f>'עד 50'!D20+'60 ומעלה'!D19+'לבני 50 עד 60'!D19</f>
        <v>0</v>
      </c>
      <c r="E19" s="2"/>
      <c r="F19" s="37"/>
      <c r="G19" s="37"/>
    </row>
    <row r="20" spans="1:7" ht="15.75">
      <c r="A20" s="2"/>
      <c r="B20" s="2"/>
      <c r="C20" s="6" t="s">
        <v>60</v>
      </c>
      <c r="D20" s="26">
        <f>'עד 50'!D21+'60 ומעלה'!D20+'לבני 50 עד 60'!D20</f>
        <v>0</v>
      </c>
      <c r="E20" s="2"/>
      <c r="F20" s="37"/>
      <c r="G20" s="37"/>
    </row>
    <row r="21" spans="1:7" ht="15.75">
      <c r="A21" s="2"/>
      <c r="B21" s="2"/>
      <c r="C21" s="6" t="s">
        <v>78</v>
      </c>
      <c r="D21" s="26">
        <f>'עד 50'!D22+'60 ומעלה'!D21+'לבני 50 עד 60'!D21</f>
        <v>141.57</v>
      </c>
      <c r="E21" s="2"/>
      <c r="F21" s="37"/>
      <c r="G21" s="37"/>
    </row>
    <row r="22" spans="1:7" ht="15.75">
      <c r="A22" s="2"/>
      <c r="B22" s="2"/>
      <c r="C22" s="6" t="s">
        <v>79</v>
      </c>
      <c r="D22" s="26">
        <f>'עד 50'!D23+'60 ומעלה'!D22+'לבני 50 עד 60'!D22</f>
        <v>1125.0700000000002</v>
      </c>
      <c r="E22" s="2"/>
      <c r="F22" s="22"/>
      <c r="G22" s="37"/>
    </row>
    <row r="23" spans="1:7" ht="15.75">
      <c r="A23" s="2"/>
      <c r="B23" s="2"/>
      <c r="C23" s="6" t="s">
        <v>9</v>
      </c>
      <c r="D23" s="26">
        <f>'עד 50'!D24+'60 ומעלה'!D23+'לבני 50 עד 60'!D23</f>
        <v>0.33</v>
      </c>
      <c r="E23" s="2"/>
      <c r="F23" s="37"/>
      <c r="G23" s="37"/>
    </row>
    <row r="24" spans="1:7" ht="15.75">
      <c r="A24" s="2"/>
      <c r="B24" s="2"/>
      <c r="C24" s="6" t="s">
        <v>10</v>
      </c>
      <c r="D24" s="26">
        <f>'עד 50'!D25+'60 ומעלה'!D24+'לבני 50 עד 60'!D24</f>
        <v>313.93</v>
      </c>
      <c r="E24" s="2"/>
      <c r="F24" s="37"/>
      <c r="G24" s="37"/>
    </row>
    <row r="25" spans="1:7" ht="15.75">
      <c r="A25" s="2"/>
      <c r="B25" s="2"/>
      <c r="C25" s="6"/>
      <c r="D25" s="24"/>
      <c r="E25" s="2"/>
      <c r="F25" s="37"/>
      <c r="G25" s="37"/>
    </row>
    <row r="26" spans="1:7" ht="15.75">
      <c r="A26" s="2"/>
      <c r="B26" s="2"/>
      <c r="C26" s="5" t="s">
        <v>11</v>
      </c>
      <c r="D26" s="24">
        <f>SUM(D27:D28)</f>
        <v>0</v>
      </c>
      <c r="E26" s="2"/>
      <c r="F26" s="37"/>
      <c r="G26" s="37"/>
    </row>
    <row r="27" spans="1:7" ht="15.75">
      <c r="A27" s="2"/>
      <c r="B27" s="2"/>
      <c r="C27" s="6" t="s">
        <v>12</v>
      </c>
      <c r="D27" s="24">
        <v>0</v>
      </c>
      <c r="E27" s="2"/>
      <c r="F27" s="37"/>
      <c r="G27" s="37"/>
    </row>
    <row r="28" spans="1:7" ht="15.75">
      <c r="A28" s="2"/>
      <c r="B28" s="2"/>
      <c r="C28" s="6" t="s">
        <v>13</v>
      </c>
      <c r="D28" s="24">
        <v>0</v>
      </c>
      <c r="E28" s="2"/>
      <c r="F28" s="37"/>
      <c r="G28" s="37"/>
    </row>
    <row r="29" spans="1:7" ht="15.75">
      <c r="A29" s="2"/>
      <c r="B29" s="2"/>
      <c r="C29" s="6"/>
      <c r="D29" s="24"/>
      <c r="E29" s="2"/>
      <c r="F29" s="37"/>
      <c r="G29" s="37"/>
    </row>
    <row r="30" spans="1:7" ht="15.75">
      <c r="A30" s="2"/>
      <c r="B30" s="2"/>
      <c r="C30" s="5" t="s">
        <v>61</v>
      </c>
      <c r="D30" s="24">
        <f>D3+D9+D16+D11</f>
        <v>11708.190247</v>
      </c>
      <c r="E30" s="2"/>
      <c r="F30" s="37"/>
      <c r="G30" s="37"/>
    </row>
    <row r="31" spans="1:5" ht="15.75">
      <c r="A31" s="2"/>
      <c r="B31" s="2"/>
      <c r="C31" s="5"/>
      <c r="D31" s="3"/>
      <c r="E31" s="2"/>
    </row>
    <row r="32" spans="1:4" ht="15.75">
      <c r="A32" s="2"/>
      <c r="B32" s="2"/>
      <c r="C32" s="5" t="s">
        <v>14</v>
      </c>
      <c r="D32" s="2"/>
    </row>
    <row r="33" spans="1:6" ht="47.25">
      <c r="A33" s="2"/>
      <c r="B33" s="2"/>
      <c r="C33" s="5" t="s">
        <v>164</v>
      </c>
      <c r="D33" s="7">
        <f>SUM(D12+D16+D28)/D37</f>
        <v>0.003757850576128828</v>
      </c>
      <c r="E33" s="2"/>
      <c r="F33" s="36"/>
    </row>
    <row r="34" spans="1:6" ht="15.75">
      <c r="A34" s="2"/>
      <c r="B34" s="2"/>
      <c r="C34" s="5" t="s">
        <v>162</v>
      </c>
      <c r="D34" s="7">
        <f>D30/D36</f>
        <v>0.005256064467586999</v>
      </c>
      <c r="E34" s="2"/>
      <c r="F34" s="36"/>
    </row>
    <row r="35" spans="1:6" ht="15.75">
      <c r="A35" s="2"/>
      <c r="B35" s="2"/>
      <c r="C35" s="6"/>
      <c r="D35" s="7"/>
      <c r="E35" s="2"/>
      <c r="F35" s="36"/>
    </row>
    <row r="36" spans="1:7" ht="15">
      <c r="A36" s="2"/>
      <c r="B36" s="2"/>
      <c r="C36" s="9" t="s">
        <v>72</v>
      </c>
      <c r="D36" s="33">
        <f>'עד 50'!D35+'60 ומעלה'!D35+'לבני 50 עד 60'!D35</f>
        <v>2227558.341265</v>
      </c>
      <c r="E36" s="33"/>
      <c r="F36" s="37"/>
      <c r="G36" s="37"/>
    </row>
    <row r="37" spans="3:7" ht="15.75">
      <c r="C37" s="6" t="s">
        <v>88</v>
      </c>
      <c r="D37" s="33">
        <f>'עד 50'!D36+'60 ומעלה'!D36+'לבני 50 עד 60'!D36</f>
        <v>2106665.85848</v>
      </c>
      <c r="E37" s="33"/>
      <c r="F37" s="37"/>
      <c r="G37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9"/>
  <sheetViews>
    <sheetView rightToLeft="1" zoomScalePageLayoutView="0" workbookViewId="0" topLeftCell="B1">
      <selection activeCell="D13" sqref="D13:D19"/>
    </sheetView>
  </sheetViews>
  <sheetFormatPr defaultColWidth="9.140625" defaultRowHeight="15"/>
  <cols>
    <col min="1" max="1" width="10.7109375" style="1" bestFit="1" customWidth="1"/>
    <col min="2" max="2" width="9.00390625" style="1" bestFit="1" customWidth="1"/>
    <col min="3" max="3" width="73.421875" style="1" customWidth="1"/>
    <col min="4" max="4" width="16.28125" style="1" bestFit="1" customWidth="1"/>
    <col min="5" max="5" width="47.421875" style="1" customWidth="1"/>
    <col min="6" max="9" width="9.140625" style="1" customWidth="1"/>
    <col min="10" max="10" width="9.8515625" style="1" bestFit="1" customWidth="1"/>
    <col min="11" max="16384" width="9.140625" style="1" customWidth="1"/>
  </cols>
  <sheetData>
    <row r="1" spans="2:13" ht="15">
      <c r="B1" s="62" t="s">
        <v>170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3:4" ht="14.25">
      <c r="C2" s="1" t="s">
        <v>0</v>
      </c>
      <c r="D2" s="1" t="s">
        <v>1</v>
      </c>
    </row>
    <row r="3" spans="1:10" ht="15">
      <c r="A3" s="2"/>
      <c r="B3" s="2"/>
      <c r="C3" s="9" t="s">
        <v>2</v>
      </c>
      <c r="D3" s="26">
        <f>+D4+D5</f>
        <v>381.68</v>
      </c>
      <c r="F3"/>
      <c r="G3"/>
      <c r="H3" s="11"/>
      <c r="I3"/>
      <c r="J3"/>
    </row>
    <row r="4" spans="1:10" ht="15">
      <c r="A4" s="2"/>
      <c r="B4" s="2"/>
      <c r="C4" s="9" t="s">
        <v>63</v>
      </c>
      <c r="D4">
        <v>27.85</v>
      </c>
      <c r="E4" s="2"/>
      <c r="F4" s="4"/>
      <c r="G4" s="4"/>
      <c r="H4" s="10"/>
      <c r="I4" s="4"/>
      <c r="J4" s="4"/>
    </row>
    <row r="5" spans="1:10" ht="15">
      <c r="A5" s="2"/>
      <c r="B5" s="2"/>
      <c r="C5" s="9" t="s">
        <v>64</v>
      </c>
      <c r="D5" s="35">
        <f>381.68-D4</f>
        <v>353.83</v>
      </c>
      <c r="E5" s="2"/>
      <c r="F5" s="4"/>
      <c r="G5" s="4"/>
      <c r="H5" s="10"/>
      <c r="I5"/>
      <c r="J5"/>
    </row>
    <row r="6" spans="1:10" ht="15">
      <c r="A6" s="2"/>
      <c r="B6" s="2"/>
      <c r="C6" s="16"/>
      <c r="D6" s="26"/>
      <c r="E6" s="2"/>
      <c r="F6"/>
      <c r="G6"/>
      <c r="H6" s="11"/>
      <c r="I6"/>
      <c r="J6"/>
    </row>
    <row r="7" spans="1:10" ht="15">
      <c r="A7" s="2"/>
      <c r="B7" s="2"/>
      <c r="C7" s="30" t="s">
        <v>3</v>
      </c>
      <c r="D7" s="26">
        <f>+D8+D9</f>
        <v>96</v>
      </c>
      <c r="F7"/>
      <c r="G7"/>
      <c r="H7" s="11"/>
      <c r="I7"/>
      <c r="J7"/>
    </row>
    <row r="8" spans="1:10" ht="15">
      <c r="A8" s="2"/>
      <c r="B8" s="2"/>
      <c r="C8" s="9" t="s">
        <v>4</v>
      </c>
      <c r="D8" s="26">
        <v>0</v>
      </c>
      <c r="E8" s="2"/>
      <c r="F8"/>
      <c r="G8"/>
      <c r="H8" s="11"/>
      <c r="I8"/>
      <c r="J8"/>
    </row>
    <row r="9" spans="1:10" ht="15">
      <c r="A9" s="2"/>
      <c r="B9" s="2"/>
      <c r="C9" s="9" t="s">
        <v>5</v>
      </c>
      <c r="D9" s="4">
        <v>96</v>
      </c>
      <c r="E9" s="2"/>
      <c r="F9"/>
      <c r="G9"/>
      <c r="H9" s="11"/>
      <c r="I9"/>
      <c r="J9"/>
    </row>
    <row r="10" spans="1:10" ht="15">
      <c r="A10" s="2"/>
      <c r="B10" s="2"/>
      <c r="C10" s="16"/>
      <c r="D10" s="26"/>
      <c r="E10" s="2"/>
      <c r="F10"/>
      <c r="G10"/>
      <c r="H10" s="11"/>
      <c r="I10"/>
      <c r="J10"/>
    </row>
    <row r="11" spans="1:10" ht="15">
      <c r="A11" s="2"/>
      <c r="B11" s="2"/>
      <c r="C11" s="30" t="s">
        <v>65</v>
      </c>
      <c r="D11" s="26">
        <f>D14+D15+D13</f>
        <v>3245.0644</v>
      </c>
      <c r="F11"/>
      <c r="G11"/>
      <c r="H11" s="11"/>
      <c r="I11"/>
      <c r="J11"/>
    </row>
    <row r="12" spans="1:10" ht="15">
      <c r="A12" s="2"/>
      <c r="B12" s="2"/>
      <c r="C12" s="17"/>
      <c r="D12" s="26"/>
      <c r="F12" s="4"/>
      <c r="G12" s="4"/>
      <c r="H12" s="10"/>
      <c r="I12" s="4"/>
      <c r="J12" s="4"/>
    </row>
    <row r="13" spans="1:10" ht="15">
      <c r="A13" s="2"/>
      <c r="B13" s="2"/>
      <c r="C13" s="30" t="s">
        <v>75</v>
      </c>
      <c r="D13" s="64">
        <v>116.65812</v>
      </c>
      <c r="E13" s="50"/>
      <c r="F13" s="4"/>
      <c r="G13" s="4"/>
      <c r="H13" s="10"/>
      <c r="I13" s="4"/>
      <c r="J13" s="4"/>
    </row>
    <row r="14" spans="1:10" ht="15">
      <c r="A14" s="2"/>
      <c r="B14" s="2"/>
      <c r="C14" s="30" t="s">
        <v>6</v>
      </c>
      <c r="D14" s="56">
        <v>424.89942</v>
      </c>
      <c r="E14" s="46"/>
      <c r="F14" s="4"/>
      <c r="G14" s="4"/>
      <c r="H14" s="10"/>
      <c r="I14"/>
      <c r="J14"/>
    </row>
    <row r="15" spans="1:10" ht="15">
      <c r="A15" s="2"/>
      <c r="B15" s="2"/>
      <c r="C15" s="30" t="s">
        <v>67</v>
      </c>
      <c r="D15" s="26">
        <v>2703.50686</v>
      </c>
      <c r="E15" s="55"/>
      <c r="F15" s="4"/>
      <c r="G15" s="4"/>
      <c r="H15" s="10"/>
      <c r="I15"/>
      <c r="J15"/>
    </row>
    <row r="16" spans="1:10" ht="15">
      <c r="A16" s="2"/>
      <c r="B16" s="2"/>
      <c r="C16" s="16"/>
      <c r="D16" s="26"/>
      <c r="E16" s="50"/>
      <c r="F16"/>
      <c r="G16"/>
      <c r="H16" s="11"/>
      <c r="I16"/>
      <c r="J16"/>
    </row>
    <row r="17" spans="1:10" ht="15">
      <c r="A17" s="2"/>
      <c r="B17" s="2"/>
      <c r="C17" s="9" t="s">
        <v>7</v>
      </c>
      <c r="D17" s="26">
        <f>SUM(D18:D25)</f>
        <v>7539.1278999999995</v>
      </c>
      <c r="F17"/>
      <c r="G17"/>
      <c r="H17" s="11"/>
      <c r="I17"/>
      <c r="J17"/>
    </row>
    <row r="18" spans="1:10" ht="15">
      <c r="A18" s="2"/>
      <c r="B18" s="2"/>
      <c r="C18" s="30" t="s">
        <v>68</v>
      </c>
      <c r="D18" s="56">
        <v>2207.75215</v>
      </c>
      <c r="E18" s="44"/>
      <c r="F18" s="2"/>
      <c r="G18"/>
      <c r="H18" s="11"/>
      <c r="I18"/>
      <c r="J18"/>
    </row>
    <row r="19" spans="1:10" ht="15">
      <c r="A19" s="2"/>
      <c r="B19" s="2"/>
      <c r="C19" s="30" t="s">
        <v>8</v>
      </c>
      <c r="D19" s="56">
        <v>3831.34575</v>
      </c>
      <c r="E19" s="44"/>
      <c r="F19" s="3"/>
      <c r="G19"/>
      <c r="H19" s="11"/>
      <c r="I19"/>
      <c r="J19"/>
    </row>
    <row r="20" spans="1:10" ht="15">
      <c r="A20" s="2"/>
      <c r="B20" s="2"/>
      <c r="C20" s="9" t="s">
        <v>69</v>
      </c>
      <c r="D20" s="26">
        <v>0</v>
      </c>
      <c r="E20" s="44"/>
      <c r="F20" s="2"/>
      <c r="G20"/>
      <c r="H20" s="11"/>
      <c r="I20"/>
      <c r="J20"/>
    </row>
    <row r="21" spans="1:10" ht="15">
      <c r="A21" s="2"/>
      <c r="B21" s="2"/>
      <c r="C21" s="9" t="s">
        <v>70</v>
      </c>
      <c r="D21" s="26">
        <v>0</v>
      </c>
      <c r="E21" s="44"/>
      <c r="F21" s="2"/>
      <c r="G21"/>
      <c r="H21" s="11"/>
      <c r="I21"/>
      <c r="J21"/>
    </row>
    <row r="22" spans="1:10" ht="15">
      <c r="A22" s="2"/>
      <c r="B22" s="2"/>
      <c r="C22" s="9" t="s">
        <v>78</v>
      </c>
      <c r="D22" s="4">
        <v>134.07</v>
      </c>
      <c r="E22" s="2"/>
      <c r="F22"/>
      <c r="G22">
        <f>F22+E22+D22</f>
        <v>134.07</v>
      </c>
      <c r="H22" s="11"/>
      <c r="I22"/>
      <c r="J22"/>
    </row>
    <row r="23" spans="1:10" ht="15">
      <c r="A23" s="2"/>
      <c r="B23" s="2"/>
      <c r="C23" s="9" t="s">
        <v>79</v>
      </c>
      <c r="D23" s="41">
        <v>1063.42</v>
      </c>
      <c r="E23" s="2"/>
      <c r="F23"/>
      <c r="G23"/>
      <c r="H23" s="11"/>
      <c r="I23"/>
      <c r="J23"/>
    </row>
    <row r="24" spans="1:10" ht="15">
      <c r="A24" s="2"/>
      <c r="B24" s="2"/>
      <c r="C24" s="9" t="s">
        <v>9</v>
      </c>
      <c r="D24" s="2">
        <v>0</v>
      </c>
      <c r="E24" s="2"/>
      <c r="F24"/>
      <c r="G24"/>
      <c r="H24" s="11"/>
      <c r="I24"/>
      <c r="J24"/>
    </row>
    <row r="25" spans="1:10" ht="15">
      <c r="A25" s="2"/>
      <c r="B25" s="2"/>
      <c r="C25" s="9" t="s">
        <v>10</v>
      </c>
      <c r="D25" s="4">
        <v>302.54</v>
      </c>
      <c r="E25" s="2"/>
      <c r="F25"/>
      <c r="G25"/>
      <c r="H25" s="11"/>
      <c r="I25"/>
      <c r="J25"/>
    </row>
    <row r="26" spans="1:10" ht="15">
      <c r="A26" s="2"/>
      <c r="B26" s="2"/>
      <c r="C26" s="16"/>
      <c r="D26" s="26"/>
      <c r="E26" s="2"/>
      <c r="F26"/>
      <c r="G26"/>
      <c r="H26" s="11"/>
      <c r="I26"/>
      <c r="J26"/>
    </row>
    <row r="27" spans="1:10" ht="15">
      <c r="A27" s="2"/>
      <c r="B27" s="2"/>
      <c r="C27" s="9" t="s">
        <v>11</v>
      </c>
      <c r="D27" s="27"/>
      <c r="F27"/>
      <c r="G27"/>
      <c r="H27" s="11"/>
      <c r="I27"/>
      <c r="J27"/>
    </row>
    <row r="28" spans="1:10" ht="15">
      <c r="A28" s="2"/>
      <c r="B28" s="2"/>
      <c r="C28" s="9" t="s">
        <v>12</v>
      </c>
      <c r="D28" s="26">
        <v>0</v>
      </c>
      <c r="E28" s="2"/>
      <c r="F28"/>
      <c r="G28"/>
      <c r="H28" s="11"/>
      <c r="I28"/>
      <c r="J28"/>
    </row>
    <row r="29" spans="1:10" ht="15">
      <c r="A29" s="2"/>
      <c r="B29" s="2"/>
      <c r="C29" s="9" t="s">
        <v>13</v>
      </c>
      <c r="D29" s="26">
        <v>0</v>
      </c>
      <c r="E29" s="2"/>
      <c r="F29"/>
      <c r="G29"/>
      <c r="H29" s="11"/>
      <c r="I29"/>
      <c r="J29"/>
    </row>
    <row r="30" spans="1:10" ht="15">
      <c r="A30" s="2"/>
      <c r="B30" s="2"/>
      <c r="C30" s="16"/>
      <c r="D30" s="26"/>
      <c r="E30" s="2"/>
      <c r="F30"/>
      <c r="G30"/>
      <c r="H30" s="11"/>
      <c r="I30"/>
      <c r="J30"/>
    </row>
    <row r="31" spans="1:10" ht="15">
      <c r="A31" s="2"/>
      <c r="B31" s="2"/>
      <c r="C31" s="9" t="s">
        <v>71</v>
      </c>
      <c r="D31" s="26">
        <f>+D3+D7+D11+D17</f>
        <v>11261.872299999999</v>
      </c>
      <c r="E31" s="2"/>
      <c r="F31"/>
      <c r="G31"/>
      <c r="H31" s="11"/>
      <c r="I31"/>
      <c r="J31"/>
    </row>
    <row r="32" spans="1:10" ht="15">
      <c r="A32" s="2"/>
      <c r="B32" s="2"/>
      <c r="C32" s="9" t="s">
        <v>14</v>
      </c>
      <c r="D32" s="18"/>
      <c r="F32"/>
      <c r="G32"/>
      <c r="H32" s="11"/>
      <c r="I32"/>
      <c r="J32"/>
    </row>
    <row r="33" spans="1:10" ht="30">
      <c r="A33" s="2"/>
      <c r="B33" s="2"/>
      <c r="C33" s="58" t="s">
        <v>164</v>
      </c>
      <c r="D33" s="20">
        <f>+(D28+D17+D13)/D36</f>
        <v>0.00391216879766471</v>
      </c>
      <c r="E33" s="43"/>
      <c r="F33"/>
      <c r="G33"/>
      <c r="H33" s="11"/>
      <c r="I33"/>
      <c r="J33"/>
    </row>
    <row r="34" spans="1:10" ht="15">
      <c r="A34" s="2"/>
      <c r="B34" s="2"/>
      <c r="C34" s="9" t="s">
        <v>162</v>
      </c>
      <c r="D34" s="20">
        <f>+D31/D35</f>
        <v>0.005411476830897935</v>
      </c>
      <c r="E34" s="2"/>
      <c r="F34"/>
      <c r="G34"/>
      <c r="H34" s="11"/>
      <c r="I34"/>
      <c r="J34"/>
    </row>
    <row r="35" spans="1:10" ht="15">
      <c r="A35" s="2"/>
      <c r="B35" s="2"/>
      <c r="C35" s="16" t="s">
        <v>74</v>
      </c>
      <c r="D35" s="19">
        <f>(D36+(2205301613/1000))/2</f>
        <v>2081108.8454999998</v>
      </c>
      <c r="E35" s="2"/>
      <c r="F35"/>
      <c r="G35"/>
      <c r="H35" s="11"/>
      <c r="I35"/>
      <c r="J35"/>
    </row>
    <row r="36" spans="3:10" ht="15">
      <c r="C36" s="47" t="s">
        <v>88</v>
      </c>
      <c r="D36" s="19">
        <f>1956916078/1000</f>
        <v>1956916.078</v>
      </c>
      <c r="F36"/>
      <c r="G36"/>
      <c r="H36" s="11"/>
      <c r="I36"/>
      <c r="J36"/>
    </row>
    <row r="37" spans="4:10" ht="14.25">
      <c r="D37" s="51"/>
      <c r="F37"/>
      <c r="G37"/>
      <c r="H37" s="11"/>
      <c r="I37"/>
      <c r="J37"/>
    </row>
    <row r="38" spans="6:10" ht="14.25">
      <c r="F38"/>
      <c r="G38"/>
      <c r="H38" s="11"/>
      <c r="I38"/>
      <c r="J38"/>
    </row>
    <row r="39" spans="6:10" ht="14.25">
      <c r="F39"/>
      <c r="G39"/>
      <c r="H39" s="11"/>
      <c r="I39"/>
      <c r="J39"/>
    </row>
    <row r="40" spans="6:10" ht="14.25">
      <c r="F40"/>
      <c r="G40"/>
      <c r="H40" s="11"/>
      <c r="I40"/>
      <c r="J40"/>
    </row>
    <row r="41" spans="6:10" ht="14.25">
      <c r="F41"/>
      <c r="G41"/>
      <c r="H41" s="11"/>
      <c r="I41"/>
      <c r="J41"/>
    </row>
    <row r="42" spans="4:10" ht="14.25">
      <c r="D42" s="40"/>
      <c r="F42"/>
      <c r="G42"/>
      <c r="H42" s="11"/>
      <c r="I42"/>
      <c r="J42"/>
    </row>
    <row r="43" spans="6:10" ht="14.25">
      <c r="F43"/>
      <c r="G43"/>
      <c r="H43" s="11"/>
      <c r="I43"/>
      <c r="J43"/>
    </row>
    <row r="44" spans="6:10" ht="14.25">
      <c r="F44"/>
      <c r="G44"/>
      <c r="H44" s="11"/>
      <c r="I44"/>
      <c r="J44"/>
    </row>
    <row r="45" spans="6:10" ht="14.25">
      <c r="F45"/>
      <c r="G45"/>
      <c r="H45" s="11"/>
      <c r="I45"/>
      <c r="J45"/>
    </row>
    <row r="46" spans="6:10" ht="14.25">
      <c r="F46"/>
      <c r="G46"/>
      <c r="H46" s="11"/>
      <c r="I46"/>
      <c r="J46"/>
    </row>
    <row r="47" spans="6:10" ht="14.25">
      <c r="F47"/>
      <c r="G47"/>
      <c r="H47" s="11"/>
      <c r="I47"/>
      <c r="J47"/>
    </row>
    <row r="48" spans="6:10" ht="14.25">
      <c r="F48"/>
      <c r="G48"/>
      <c r="H48" s="11"/>
      <c r="I48"/>
      <c r="J48"/>
    </row>
    <row r="49" spans="6:10" ht="14.25">
      <c r="F49"/>
      <c r="G49"/>
      <c r="H49" s="11"/>
      <c r="I49"/>
      <c r="J49"/>
    </row>
    <row r="50" spans="6:10" ht="14.25">
      <c r="F50"/>
      <c r="G50"/>
      <c r="H50" s="11"/>
      <c r="I50"/>
      <c r="J50"/>
    </row>
    <row r="51" spans="6:10" ht="14.25">
      <c r="F51"/>
      <c r="G51"/>
      <c r="H51" s="11"/>
      <c r="I51"/>
      <c r="J51"/>
    </row>
    <row r="52" spans="6:10" ht="14.25">
      <c r="F52"/>
      <c r="G52"/>
      <c r="H52" s="11"/>
      <c r="I52"/>
      <c r="J52"/>
    </row>
    <row r="53" spans="6:10" ht="14.25">
      <c r="F53"/>
      <c r="G53"/>
      <c r="H53" s="11"/>
      <c r="I53"/>
      <c r="J53"/>
    </row>
    <row r="54" spans="6:10" ht="14.25">
      <c r="F54"/>
      <c r="G54"/>
      <c r="H54" s="11"/>
      <c r="I54"/>
      <c r="J54"/>
    </row>
    <row r="55" spans="6:10" ht="14.25">
      <c r="F55"/>
      <c r="G55"/>
      <c r="H55" s="11"/>
      <c r="I55"/>
      <c r="J55"/>
    </row>
    <row r="56" spans="6:10" ht="14.25">
      <c r="F56"/>
      <c r="G56"/>
      <c r="H56" s="11"/>
      <c r="I56"/>
      <c r="J56"/>
    </row>
    <row r="57" spans="6:10" ht="14.25">
      <c r="F57"/>
      <c r="G57"/>
      <c r="H57" s="11"/>
      <c r="I57"/>
      <c r="J57"/>
    </row>
    <row r="58" spans="6:10" ht="14.25">
      <c r="F58"/>
      <c r="G58"/>
      <c r="H58" s="11"/>
      <c r="I58"/>
      <c r="J58"/>
    </row>
    <row r="59" spans="6:10" ht="14.25">
      <c r="F59"/>
      <c r="G59"/>
      <c r="H59" s="11"/>
      <c r="I59"/>
      <c r="J59"/>
    </row>
    <row r="60" spans="6:10" ht="14.25">
      <c r="F60"/>
      <c r="G60"/>
      <c r="H60" s="11"/>
      <c r="I60"/>
      <c r="J60"/>
    </row>
    <row r="61" spans="6:10" ht="14.25">
      <c r="F61"/>
      <c r="G61"/>
      <c r="H61" s="11"/>
      <c r="I61"/>
      <c r="J61"/>
    </row>
    <row r="62" spans="6:10" ht="14.25">
      <c r="F62"/>
      <c r="G62"/>
      <c r="H62" s="11"/>
      <c r="I62"/>
      <c r="J62"/>
    </row>
    <row r="63" spans="6:10" ht="14.25">
      <c r="F63"/>
      <c r="G63"/>
      <c r="H63" s="11"/>
      <c r="I63"/>
      <c r="J63"/>
    </row>
    <row r="64" spans="6:10" ht="14.25">
      <c r="F64"/>
      <c r="G64"/>
      <c r="H64" s="11"/>
      <c r="I64"/>
      <c r="J64"/>
    </row>
    <row r="65" spans="6:10" ht="14.25">
      <c r="F65"/>
      <c r="G65"/>
      <c r="H65" s="11"/>
      <c r="I65"/>
      <c r="J65"/>
    </row>
    <row r="66" spans="6:10" ht="14.25">
      <c r="F66"/>
      <c r="G66"/>
      <c r="H66" s="11"/>
      <c r="I66"/>
      <c r="J66"/>
    </row>
    <row r="67" spans="6:10" ht="14.25">
      <c r="F67"/>
      <c r="G67"/>
      <c r="H67" s="11"/>
      <c r="I67"/>
      <c r="J67"/>
    </row>
    <row r="68" spans="6:10" ht="14.25">
      <c r="F68"/>
      <c r="G68"/>
      <c r="H68" s="11"/>
      <c r="I68"/>
      <c r="J68"/>
    </row>
    <row r="69" spans="6:10" ht="14.25">
      <c r="F69"/>
      <c r="G69"/>
      <c r="H69" s="11"/>
      <c r="I69"/>
      <c r="J69"/>
    </row>
    <row r="70" spans="6:10" ht="14.25">
      <c r="F70"/>
      <c r="G70"/>
      <c r="H70" s="11"/>
      <c r="I70"/>
      <c r="J70"/>
    </row>
    <row r="71" spans="6:10" ht="14.25">
      <c r="F71"/>
      <c r="G71"/>
      <c r="H71" s="11"/>
      <c r="I71"/>
      <c r="J71"/>
    </row>
    <row r="72" spans="6:10" ht="14.25">
      <c r="F72"/>
      <c r="G72"/>
      <c r="H72" s="11"/>
      <c r="I72"/>
      <c r="J72"/>
    </row>
    <row r="73" spans="6:10" ht="14.25">
      <c r="F73"/>
      <c r="G73"/>
      <c r="H73" s="11"/>
      <c r="I73"/>
      <c r="J73"/>
    </row>
    <row r="74" spans="6:10" ht="14.25">
      <c r="F74"/>
      <c r="G74"/>
      <c r="H74" s="11"/>
      <c r="I74"/>
      <c r="J74"/>
    </row>
    <row r="75" spans="6:10" ht="14.25">
      <c r="F75"/>
      <c r="G75"/>
      <c r="H75" s="11"/>
      <c r="I75"/>
      <c r="J75"/>
    </row>
    <row r="76" spans="6:10" ht="14.25">
      <c r="F76"/>
      <c r="G76"/>
      <c r="H76" s="11"/>
      <c r="I76"/>
      <c r="J76"/>
    </row>
    <row r="77" spans="6:10" ht="14.25">
      <c r="F77"/>
      <c r="G77"/>
      <c r="H77" s="11"/>
      <c r="I77"/>
      <c r="J77"/>
    </row>
    <row r="78" spans="6:10" ht="14.25">
      <c r="F78"/>
      <c r="G78"/>
      <c r="H78" s="11"/>
      <c r="I78"/>
      <c r="J78"/>
    </row>
    <row r="79" spans="6:10" ht="14.25">
      <c r="F79"/>
      <c r="G79"/>
      <c r="H79" s="11"/>
      <c r="I79"/>
      <c r="J79"/>
    </row>
    <row r="80" spans="6:10" ht="14.25">
      <c r="F80"/>
      <c r="G80"/>
      <c r="H80" s="11"/>
      <c r="I80"/>
      <c r="J80"/>
    </row>
    <row r="81" spans="6:10" ht="14.25">
      <c r="F81"/>
      <c r="G81"/>
      <c r="H81" s="11"/>
      <c r="I81"/>
      <c r="J81"/>
    </row>
    <row r="82" spans="6:10" ht="14.25">
      <c r="F82"/>
      <c r="G82"/>
      <c r="H82" s="11"/>
      <c r="I82"/>
      <c r="J82"/>
    </row>
    <row r="83" spans="6:10" ht="14.25">
      <c r="F83"/>
      <c r="G83"/>
      <c r="H83" s="11"/>
      <c r="I83"/>
      <c r="J83"/>
    </row>
    <row r="84" spans="6:10" ht="14.25">
      <c r="F84"/>
      <c r="G84"/>
      <c r="H84" s="11"/>
      <c r="I84"/>
      <c r="J84"/>
    </row>
    <row r="85" spans="6:10" ht="14.25">
      <c r="F85"/>
      <c r="G85"/>
      <c r="H85" s="11"/>
      <c r="I85"/>
      <c r="J85"/>
    </row>
    <row r="86" spans="6:10" ht="15">
      <c r="F86" s="4"/>
      <c r="G86" s="4"/>
      <c r="H86" s="10"/>
      <c r="I86" s="4"/>
      <c r="J86" s="4"/>
    </row>
    <row r="87" spans="6:10" ht="15">
      <c r="F87" s="4"/>
      <c r="G87" s="4"/>
      <c r="H87" s="10"/>
      <c r="I87" s="4"/>
      <c r="J87" s="4"/>
    </row>
    <row r="88" spans="6:10" ht="15">
      <c r="F88" s="4"/>
      <c r="G88" s="4"/>
      <c r="H88" s="10"/>
      <c r="I88" s="41"/>
      <c r="J88" s="4"/>
    </row>
    <row r="89" spans="6:10" ht="15">
      <c r="F89" s="4"/>
      <c r="G89" s="4"/>
      <c r="H89" s="10"/>
      <c r="I89" s="41"/>
      <c r="J89" s="4"/>
    </row>
  </sheetData>
  <sheetProtection/>
  <mergeCells count="1">
    <mergeCell ref="B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rightToLeft="1" zoomScale="98" zoomScaleNormal="98" zoomScalePageLayoutView="0" workbookViewId="0" topLeftCell="A1">
      <selection activeCell="C42" sqref="C42"/>
    </sheetView>
  </sheetViews>
  <sheetFormatPr defaultColWidth="9.140625" defaultRowHeight="15"/>
  <cols>
    <col min="1" max="1" width="10.7109375" style="1" bestFit="1" customWidth="1"/>
    <col min="2" max="2" width="9.00390625" style="1" bestFit="1" customWidth="1"/>
    <col min="3" max="3" width="71.28125" style="1" bestFit="1" customWidth="1"/>
    <col min="4" max="4" width="9.140625" style="1" customWidth="1"/>
    <col min="5" max="5" width="11.8515625" style="1" bestFit="1" customWidth="1"/>
    <col min="6" max="16384" width="9.140625" style="1" customWidth="1"/>
  </cols>
  <sheetData>
    <row r="1" spans="2:13" ht="15">
      <c r="B1" s="62" t="s">
        <v>171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3:4" ht="14.25">
      <c r="C2" s="1" t="s">
        <v>0</v>
      </c>
      <c r="D2" s="1" t="s">
        <v>1</v>
      </c>
    </row>
    <row r="3" spans="1:4" ht="15">
      <c r="A3" s="2"/>
      <c r="B3" s="2"/>
      <c r="C3" s="9" t="s">
        <v>2</v>
      </c>
      <c r="D3" s="2">
        <f>SUM(D4:D5)</f>
        <v>0.22</v>
      </c>
    </row>
    <row r="4" spans="1:5" ht="15">
      <c r="A4" s="2"/>
      <c r="B4" s="2"/>
      <c r="C4" s="9" t="s">
        <v>63</v>
      </c>
      <c r="D4">
        <v>0.02</v>
      </c>
      <c r="E4" s="2"/>
    </row>
    <row r="5" spans="1:5" ht="15">
      <c r="A5" s="2"/>
      <c r="B5" s="2"/>
      <c r="C5" s="9" t="s">
        <v>64</v>
      </c>
      <c r="D5" s="2">
        <f>0.22-D4</f>
        <v>0.2</v>
      </c>
      <c r="E5" s="2"/>
    </row>
    <row r="6" spans="1:5" ht="15">
      <c r="A6" s="2"/>
      <c r="B6" s="2"/>
      <c r="C6" s="16"/>
      <c r="D6" s="2"/>
      <c r="E6" s="2"/>
    </row>
    <row r="7" spans="1:4" ht="15">
      <c r="A7" s="2"/>
      <c r="B7" s="2"/>
      <c r="C7" s="9" t="s">
        <v>3</v>
      </c>
      <c r="D7" s="2">
        <f>SUM(D8:D9)</f>
        <v>0.05</v>
      </c>
    </row>
    <row r="8" spans="1:5" ht="15">
      <c r="A8" s="2"/>
      <c r="B8" s="2"/>
      <c r="C8" s="9" t="s">
        <v>4</v>
      </c>
      <c r="D8">
        <v>0</v>
      </c>
      <c r="E8" s="2"/>
    </row>
    <row r="9" spans="1:5" ht="15">
      <c r="A9" s="2"/>
      <c r="B9" s="2"/>
      <c r="C9" s="9" t="s">
        <v>5</v>
      </c>
      <c r="D9" s="4">
        <v>0.05</v>
      </c>
      <c r="E9" s="2"/>
    </row>
    <row r="10" spans="1:5" ht="15">
      <c r="A10" s="2"/>
      <c r="B10" s="2"/>
      <c r="C10" s="16"/>
      <c r="D10" s="2"/>
      <c r="E10" s="2"/>
    </row>
    <row r="11" spans="1:3" ht="15">
      <c r="A11" s="2"/>
      <c r="B11" s="2"/>
      <c r="C11" s="9" t="s">
        <v>65</v>
      </c>
    </row>
    <row r="12" spans="1:5" ht="15">
      <c r="A12" s="2"/>
      <c r="B12" s="2"/>
      <c r="C12" s="9" t="s">
        <v>66</v>
      </c>
      <c r="D12" s="2">
        <v>0</v>
      </c>
      <c r="E12" s="2"/>
    </row>
    <row r="13" spans="1:5" ht="15">
      <c r="A13" s="2"/>
      <c r="B13" s="2"/>
      <c r="C13" s="9" t="s">
        <v>6</v>
      </c>
      <c r="D13" s="2">
        <v>0</v>
      </c>
      <c r="E13" s="2"/>
    </row>
    <row r="14" spans="1:5" ht="15">
      <c r="A14" s="2"/>
      <c r="B14" s="2"/>
      <c r="C14" s="9" t="s">
        <v>67</v>
      </c>
      <c r="D14" s="54">
        <v>0</v>
      </c>
      <c r="E14" s="2"/>
    </row>
    <row r="15" spans="1:5" ht="15">
      <c r="A15" s="2"/>
      <c r="B15" s="2"/>
      <c r="C15" s="16"/>
      <c r="D15" s="2"/>
      <c r="E15" s="2"/>
    </row>
    <row r="16" spans="1:4" ht="15">
      <c r="A16" s="2"/>
      <c r="B16" s="2"/>
      <c r="C16" s="9" t="s">
        <v>7</v>
      </c>
      <c r="D16" s="2">
        <f>SUM(D17:D24)</f>
        <v>0.96</v>
      </c>
    </row>
    <row r="17" spans="1:5" ht="15">
      <c r="A17" s="2"/>
      <c r="B17" s="2"/>
      <c r="C17" s="9" t="s">
        <v>68</v>
      </c>
      <c r="D17" s="2">
        <v>0</v>
      </c>
      <c r="E17" s="2"/>
    </row>
    <row r="18" spans="1:5" ht="15">
      <c r="A18" s="2"/>
      <c r="B18" s="2"/>
      <c r="C18" s="9" t="s">
        <v>8</v>
      </c>
      <c r="D18" s="2">
        <v>0</v>
      </c>
      <c r="E18" s="2"/>
    </row>
    <row r="19" spans="1:5" ht="15">
      <c r="A19" s="2"/>
      <c r="B19" s="2"/>
      <c r="C19" s="9" t="s">
        <v>69</v>
      </c>
      <c r="D19" s="2">
        <v>0</v>
      </c>
      <c r="E19" s="2"/>
    </row>
    <row r="20" spans="1:5" ht="15">
      <c r="A20" s="2"/>
      <c r="B20" s="2"/>
      <c r="C20" s="9" t="s">
        <v>70</v>
      </c>
      <c r="D20" s="2">
        <v>0</v>
      </c>
      <c r="E20" s="2"/>
    </row>
    <row r="21" spans="1:5" ht="15">
      <c r="A21" s="2"/>
      <c r="B21" s="2"/>
      <c r="C21" s="9" t="s">
        <v>78</v>
      </c>
      <c r="D21" s="4">
        <v>0.44</v>
      </c>
      <c r="E21" s="2"/>
    </row>
    <row r="22" spans="1:5" ht="15">
      <c r="A22" s="2"/>
      <c r="B22" s="2"/>
      <c r="C22" s="9" t="s">
        <v>79</v>
      </c>
      <c r="D22" s="4">
        <v>0.47</v>
      </c>
      <c r="E22" s="2"/>
    </row>
    <row r="23" spans="1:5" ht="15">
      <c r="A23" s="2"/>
      <c r="B23" s="2"/>
      <c r="C23" s="9" t="s">
        <v>9</v>
      </c>
      <c r="D23" s="4">
        <v>0.05</v>
      </c>
      <c r="E23" s="2"/>
    </row>
    <row r="24" spans="1:5" ht="15">
      <c r="A24" s="2"/>
      <c r="B24" s="2"/>
      <c r="C24" s="9" t="s">
        <v>10</v>
      </c>
      <c r="D24" s="2">
        <v>0</v>
      </c>
      <c r="E24" s="2"/>
    </row>
    <row r="25" spans="1:5" ht="15">
      <c r="A25" s="2"/>
      <c r="B25" s="2"/>
      <c r="C25" s="16"/>
      <c r="D25" s="2"/>
      <c r="E25" s="2"/>
    </row>
    <row r="26" spans="1:4" ht="15">
      <c r="A26" s="2"/>
      <c r="B26" s="2"/>
      <c r="C26" s="9" t="s">
        <v>11</v>
      </c>
      <c r="D26" s="2">
        <v>0</v>
      </c>
    </row>
    <row r="27" spans="1:5" ht="15">
      <c r="A27" s="2"/>
      <c r="B27" s="2"/>
      <c r="C27" s="9" t="s">
        <v>12</v>
      </c>
      <c r="D27" s="2">
        <v>0</v>
      </c>
      <c r="E27" s="2"/>
    </row>
    <row r="28" spans="1:5" ht="15">
      <c r="A28" s="2"/>
      <c r="B28" s="2"/>
      <c r="C28" s="9" t="s">
        <v>13</v>
      </c>
      <c r="D28" s="2">
        <v>0</v>
      </c>
      <c r="E28" s="2"/>
    </row>
    <row r="29" spans="1:5" ht="15">
      <c r="A29" s="2"/>
      <c r="B29" s="2"/>
      <c r="C29" s="16"/>
      <c r="D29" s="2"/>
      <c r="E29" s="2"/>
    </row>
    <row r="30" spans="1:5" ht="15">
      <c r="A30" s="2"/>
      <c r="B30" s="2"/>
      <c r="C30" s="9" t="s">
        <v>71</v>
      </c>
      <c r="D30" s="2">
        <f>+D26+D16+D12+D7+D3</f>
        <v>1.23</v>
      </c>
      <c r="E30" s="2"/>
    </row>
    <row r="31" spans="1:5" ht="15">
      <c r="A31" s="2"/>
      <c r="B31" s="2"/>
      <c r="C31" s="16"/>
      <c r="D31" s="2"/>
      <c r="E31" s="2"/>
    </row>
    <row r="32" spans="1:3" ht="15">
      <c r="A32" s="2"/>
      <c r="B32" s="2"/>
      <c r="C32" s="9" t="s">
        <v>14</v>
      </c>
    </row>
    <row r="33" spans="1:5" ht="30">
      <c r="A33" s="2"/>
      <c r="B33" s="2"/>
      <c r="C33" s="58" t="s">
        <v>164</v>
      </c>
      <c r="D33" s="20">
        <f>+(D26+D16+D12)/D36</f>
        <v>0.0008537869484417361</v>
      </c>
      <c r="E33" s="2"/>
    </row>
    <row r="34" spans="1:5" ht="15">
      <c r="A34" s="2"/>
      <c r="B34" s="2"/>
      <c r="C34" s="9" t="s">
        <v>162</v>
      </c>
      <c r="D34" s="20">
        <f>+D30/D35</f>
        <v>0.0009840365274358985</v>
      </c>
      <c r="E34" s="2"/>
    </row>
    <row r="35" spans="1:5" ht="15">
      <c r="A35" s="2"/>
      <c r="B35" s="2"/>
      <c r="C35" s="9" t="s">
        <v>74</v>
      </c>
      <c r="D35" s="19">
        <f>(D36+(1375504.91/1000))/2</f>
        <v>1249.9535999999998</v>
      </c>
      <c r="E35" s="2"/>
    </row>
    <row r="36" spans="3:4" ht="15">
      <c r="C36" s="47" t="s">
        <v>88</v>
      </c>
      <c r="D36" s="33">
        <f>1124402.29/1000</f>
        <v>1124.40229</v>
      </c>
    </row>
  </sheetData>
  <sheetProtection/>
  <mergeCells count="1">
    <mergeCell ref="B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rightToLeft="1" zoomScale="95" zoomScaleNormal="95" zoomScalePageLayoutView="0" workbookViewId="0" topLeftCell="A1">
      <selection activeCell="C44" sqref="C44"/>
    </sheetView>
  </sheetViews>
  <sheetFormatPr defaultColWidth="9.140625" defaultRowHeight="15"/>
  <cols>
    <col min="1" max="1" width="10.7109375" style="1" bestFit="1" customWidth="1"/>
    <col min="2" max="2" width="9.00390625" style="1" bestFit="1" customWidth="1"/>
    <col min="3" max="3" width="71.28125" style="1" bestFit="1" customWidth="1"/>
    <col min="4" max="4" width="13.421875" style="1" bestFit="1" customWidth="1"/>
    <col min="5" max="5" width="11.8515625" style="1" bestFit="1" customWidth="1"/>
    <col min="6" max="6" width="23.28125" style="1" customWidth="1"/>
    <col min="7" max="16384" width="9.140625" style="1" customWidth="1"/>
  </cols>
  <sheetData>
    <row r="1" spans="2:13" ht="15">
      <c r="B1" s="62" t="s">
        <v>172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3:4" ht="14.25">
      <c r="C2" s="1" t="s">
        <v>0</v>
      </c>
      <c r="D2" s="1" t="s">
        <v>1</v>
      </c>
    </row>
    <row r="3" spans="1:4" ht="15">
      <c r="A3" s="2"/>
      <c r="B3" s="2"/>
      <c r="C3" s="9" t="s">
        <v>2</v>
      </c>
      <c r="D3" s="24">
        <f>SUM(D4:D5)</f>
        <v>29.92</v>
      </c>
    </row>
    <row r="4" spans="1:5" ht="15">
      <c r="A4" s="2"/>
      <c r="B4" s="2"/>
      <c r="C4" s="9" t="s">
        <v>63</v>
      </c>
      <c r="D4">
        <v>3.67</v>
      </c>
      <c r="E4" s="2"/>
    </row>
    <row r="5" spans="1:5" ht="15">
      <c r="A5" s="2"/>
      <c r="B5" s="2"/>
      <c r="C5" s="9" t="s">
        <v>64</v>
      </c>
      <c r="D5" s="35">
        <f>29.92-D4</f>
        <v>26.25</v>
      </c>
      <c r="E5" s="2"/>
    </row>
    <row r="6" spans="1:5" ht="15">
      <c r="A6" s="2"/>
      <c r="B6" s="2"/>
      <c r="C6" s="16"/>
      <c r="D6" s="24"/>
      <c r="E6" s="2"/>
    </row>
    <row r="7" spans="1:4" ht="15">
      <c r="A7" s="2"/>
      <c r="B7" s="2"/>
      <c r="C7" s="30" t="s">
        <v>3</v>
      </c>
      <c r="D7" s="26">
        <f>SUM(D8:D9)</f>
        <v>6.06</v>
      </c>
    </row>
    <row r="8" spans="1:5" ht="15">
      <c r="A8" s="2"/>
      <c r="B8" s="2"/>
      <c r="C8" s="9" t="s">
        <v>4</v>
      </c>
      <c r="D8" s="24">
        <v>0</v>
      </c>
      <c r="E8" s="2"/>
    </row>
    <row r="9" spans="1:5" ht="15">
      <c r="A9" s="2"/>
      <c r="B9" s="2"/>
      <c r="C9" s="9" t="s">
        <v>5</v>
      </c>
      <c r="D9" s="4">
        <v>6.06</v>
      </c>
      <c r="E9" s="2"/>
    </row>
    <row r="10" spans="1:5" ht="15">
      <c r="A10" s="2"/>
      <c r="B10" s="2"/>
      <c r="C10" s="16"/>
      <c r="D10" s="24"/>
      <c r="E10" s="2"/>
    </row>
    <row r="11" spans="1:4" ht="15">
      <c r="A11" s="2"/>
      <c r="B11" s="2"/>
      <c r="C11" s="9" t="s">
        <v>65</v>
      </c>
      <c r="D11" s="26">
        <f>SUM(D12:D14)</f>
        <v>149.318457</v>
      </c>
    </row>
    <row r="12" spans="1:5" ht="15">
      <c r="A12" s="2"/>
      <c r="B12" s="2"/>
      <c r="C12" s="9" t="s">
        <v>66</v>
      </c>
      <c r="D12" s="26">
        <v>0</v>
      </c>
      <c r="E12" s="2"/>
    </row>
    <row r="13" spans="1:5" ht="15">
      <c r="A13" s="2"/>
      <c r="B13" s="2"/>
      <c r="C13" s="9" t="s">
        <v>6</v>
      </c>
      <c r="D13" s="26">
        <v>22.817457</v>
      </c>
      <c r="E13" s="2"/>
    </row>
    <row r="14" spans="1:5" ht="15">
      <c r="A14" s="2"/>
      <c r="B14" s="2"/>
      <c r="C14" s="9" t="s">
        <v>67</v>
      </c>
      <c r="D14" s="26">
        <v>126.501</v>
      </c>
      <c r="E14" s="2"/>
    </row>
    <row r="15" spans="1:5" ht="15">
      <c r="A15" s="2"/>
      <c r="B15" s="2"/>
      <c r="C15" s="16"/>
      <c r="D15" s="26"/>
      <c r="E15" s="2"/>
    </row>
    <row r="16" spans="1:4" ht="15">
      <c r="A16" s="2"/>
      <c r="B16" s="2"/>
      <c r="C16" s="9" t="s">
        <v>7</v>
      </c>
      <c r="D16" s="26">
        <f>SUM(D17:D24)</f>
        <v>259.78949</v>
      </c>
    </row>
    <row r="17" spans="1:5" ht="15">
      <c r="A17" s="2"/>
      <c r="B17" s="2"/>
      <c r="C17" s="9" t="s">
        <v>68</v>
      </c>
      <c r="D17" s="56">
        <v>43.64951</v>
      </c>
      <c r="E17" s="29"/>
    </row>
    <row r="18" spans="1:5" ht="15">
      <c r="A18" s="2"/>
      <c r="B18" s="2"/>
      <c r="C18" s="9" t="s">
        <v>8</v>
      </c>
      <c r="D18" s="56">
        <v>136.22998</v>
      </c>
      <c r="E18" s="29"/>
    </row>
    <row r="19" spans="1:5" ht="15">
      <c r="A19" s="2"/>
      <c r="B19" s="2"/>
      <c r="C19" s="9" t="s">
        <v>69</v>
      </c>
      <c r="D19" s="26">
        <v>0</v>
      </c>
      <c r="E19" s="2"/>
    </row>
    <row r="20" spans="1:5" ht="15">
      <c r="A20" s="2"/>
      <c r="B20" s="2"/>
      <c r="C20" s="9" t="s">
        <v>70</v>
      </c>
      <c r="D20" s="26">
        <v>0</v>
      </c>
      <c r="E20" s="2"/>
    </row>
    <row r="21" spans="1:7" ht="15">
      <c r="A21" s="2"/>
      <c r="B21" s="2"/>
      <c r="C21" s="9" t="s">
        <v>78</v>
      </c>
      <c r="D21" s="4">
        <v>7.06</v>
      </c>
      <c r="E21" s="2"/>
      <c r="F21" s="45"/>
      <c r="G21" s="45"/>
    </row>
    <row r="22" spans="1:7" ht="15">
      <c r="A22" s="2"/>
      <c r="B22" s="2"/>
      <c r="C22" s="9" t="s">
        <v>79</v>
      </c>
      <c r="D22" s="4">
        <v>61.18</v>
      </c>
      <c r="E22" s="2"/>
      <c r="F22" s="45"/>
      <c r="G22" s="45"/>
    </row>
    <row r="23" spans="1:7" ht="15">
      <c r="A23" s="2"/>
      <c r="B23" s="2"/>
      <c r="C23" s="9" t="s">
        <v>9</v>
      </c>
      <c r="D23" s="4">
        <v>0.28</v>
      </c>
      <c r="E23" s="2"/>
      <c r="F23" s="45"/>
      <c r="G23" s="45"/>
    </row>
    <row r="24" spans="1:7" ht="15">
      <c r="A24" s="2"/>
      <c r="B24" s="2"/>
      <c r="C24" s="9" t="s">
        <v>10</v>
      </c>
      <c r="D24" s="4">
        <v>11.39</v>
      </c>
      <c r="E24" s="2"/>
      <c r="F24" s="45"/>
      <c r="G24" s="45"/>
    </row>
    <row r="25" spans="1:5" ht="15">
      <c r="A25" s="2"/>
      <c r="B25" s="2"/>
      <c r="C25" s="16"/>
      <c r="D25" s="24"/>
      <c r="E25" s="2"/>
    </row>
    <row r="26" spans="1:4" ht="15">
      <c r="A26" s="2"/>
      <c r="B26" s="2"/>
      <c r="C26" s="9" t="s">
        <v>11</v>
      </c>
      <c r="D26" s="28"/>
    </row>
    <row r="27" spans="1:5" ht="15">
      <c r="A27" s="2"/>
      <c r="B27" s="2"/>
      <c r="C27" s="9" t="s">
        <v>12</v>
      </c>
      <c r="D27" s="24">
        <v>0</v>
      </c>
      <c r="E27" s="2"/>
    </row>
    <row r="28" spans="1:5" ht="15">
      <c r="A28" s="2"/>
      <c r="B28" s="2"/>
      <c r="C28" s="9" t="s">
        <v>13</v>
      </c>
      <c r="D28" s="24">
        <v>0</v>
      </c>
      <c r="E28" s="2"/>
    </row>
    <row r="29" spans="1:5" ht="15">
      <c r="A29" s="2"/>
      <c r="B29" s="2"/>
      <c r="C29" s="16"/>
      <c r="D29" s="24"/>
      <c r="E29" s="2"/>
    </row>
    <row r="30" spans="1:5" ht="15">
      <c r="A30" s="2"/>
      <c r="B30" s="2"/>
      <c r="C30" s="9" t="s">
        <v>71</v>
      </c>
      <c r="D30" s="24">
        <f>+D3+D7+D11+D16</f>
        <v>445.087947</v>
      </c>
      <c r="E30" s="2"/>
    </row>
    <row r="31" spans="1:5" ht="15">
      <c r="A31" s="2"/>
      <c r="B31" s="2"/>
      <c r="C31" s="16"/>
      <c r="D31" s="24"/>
      <c r="E31" s="2"/>
    </row>
    <row r="32" spans="1:4" ht="15">
      <c r="A32" s="2"/>
      <c r="B32" s="2"/>
      <c r="C32" s="9" t="s">
        <v>14</v>
      </c>
      <c r="D32" s="28"/>
    </row>
    <row r="33" spans="1:5" ht="30">
      <c r="A33" s="2"/>
      <c r="B33" s="2"/>
      <c r="C33" s="58" t="s">
        <v>164</v>
      </c>
      <c r="D33" s="20">
        <f>+(D27+D16+D12)/D36</f>
        <v>0.0017479483864989047</v>
      </c>
      <c r="E33" s="2"/>
    </row>
    <row r="34" spans="1:5" ht="15">
      <c r="A34" s="2"/>
      <c r="B34" s="2"/>
      <c r="C34" s="9" t="s">
        <v>162</v>
      </c>
      <c r="D34" s="20">
        <f>+D30/D35</f>
        <v>0.0030653536530729324</v>
      </c>
      <c r="E34" s="2"/>
    </row>
    <row r="35" spans="1:5" ht="15">
      <c r="A35" s="2"/>
      <c r="B35" s="2"/>
      <c r="C35" s="16" t="s">
        <v>74</v>
      </c>
      <c r="D35" s="19">
        <f>(D36+(141773706.14/1000))/2</f>
        <v>145199.542165</v>
      </c>
      <c r="E35" s="2"/>
    </row>
    <row r="36" spans="3:4" ht="15">
      <c r="C36" s="47" t="s">
        <v>89</v>
      </c>
      <c r="D36" s="19">
        <f>148625378.19/1000</f>
        <v>148625.37819</v>
      </c>
    </row>
    <row r="38" ht="14.25">
      <c r="D38" s="38"/>
    </row>
    <row r="40" ht="14.25">
      <c r="D40" s="39"/>
    </row>
    <row r="41" ht="14.25">
      <c r="D41" s="40"/>
    </row>
    <row r="42" ht="14.25">
      <c r="D42" s="38"/>
    </row>
  </sheetData>
  <sheetProtection/>
  <mergeCells count="1">
    <mergeCell ref="B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rightToLeft="1" zoomScale="96" zoomScaleNormal="96" zoomScalePageLayoutView="0" workbookViewId="0" topLeftCell="A1">
      <selection activeCell="D43" sqref="D43"/>
    </sheetView>
  </sheetViews>
  <sheetFormatPr defaultColWidth="9.140625" defaultRowHeight="15"/>
  <cols>
    <col min="1" max="1" width="10.7109375" style="0" bestFit="1" customWidth="1"/>
    <col min="2" max="2" width="9.00390625" style="0" bestFit="1" customWidth="1"/>
    <col min="3" max="3" width="55.421875" style="0" bestFit="1" customWidth="1"/>
    <col min="4" max="4" width="11.7109375" style="0" bestFit="1" customWidth="1"/>
    <col min="5" max="5" width="11.8515625" style="0" bestFit="1" customWidth="1"/>
    <col min="6" max="6" width="24.421875" style="0" customWidth="1"/>
    <col min="7" max="7" width="19.7109375" style="0" bestFit="1" customWidth="1"/>
  </cols>
  <sheetData>
    <row r="1" spans="2:9" s="1" customFormat="1" ht="15">
      <c r="B1" s="62" t="s">
        <v>173</v>
      </c>
      <c r="C1" s="63"/>
      <c r="D1" s="63"/>
      <c r="E1" s="63"/>
      <c r="F1" s="63"/>
      <c r="G1" s="63"/>
      <c r="H1" s="63"/>
      <c r="I1" s="63"/>
    </row>
    <row r="2" spans="3:4" ht="14.25">
      <c r="C2" t="s">
        <v>0</v>
      </c>
      <c r="D2" t="s">
        <v>1</v>
      </c>
    </row>
    <row r="3" spans="1:3" ht="15">
      <c r="A3" s="4"/>
      <c r="B3" s="4"/>
      <c r="C3" s="10" t="s">
        <v>15</v>
      </c>
    </row>
    <row r="4" spans="1:4" ht="15">
      <c r="A4" s="4"/>
      <c r="B4" s="4"/>
      <c r="C4" s="10" t="s">
        <v>16</v>
      </c>
      <c r="D4" s="57"/>
    </row>
    <row r="5" spans="1:4" ht="15">
      <c r="A5" s="4"/>
      <c r="B5" s="4"/>
      <c r="C5" s="11" t="s">
        <v>76</v>
      </c>
      <c r="D5" s="57">
        <f>27.85+3.67+0.02</f>
        <v>31.540000000000003</v>
      </c>
    </row>
    <row r="6" spans="3:7" ht="15">
      <c r="C6" s="10" t="s">
        <v>17</v>
      </c>
      <c r="D6" s="23">
        <f>D5</f>
        <v>31.540000000000003</v>
      </c>
      <c r="G6" s="11"/>
    </row>
    <row r="7" spans="3:7" ht="15">
      <c r="C7" s="10" t="s">
        <v>18</v>
      </c>
      <c r="D7" s="34"/>
      <c r="G7" s="11"/>
    </row>
    <row r="8" spans="1:4" ht="15">
      <c r="A8" s="4"/>
      <c r="B8" s="4"/>
      <c r="C8" s="8" t="s">
        <v>94</v>
      </c>
      <c r="D8" s="34">
        <f>328.5+24.27+0.19</f>
        <v>352.96</v>
      </c>
    </row>
    <row r="9" spans="1:4" ht="15">
      <c r="A9" s="4"/>
      <c r="B9" s="4"/>
      <c r="C9" s="11" t="s">
        <v>62</v>
      </c>
      <c r="D9" s="57">
        <f>12.34+1.13+0.01</f>
        <v>13.479999999999999</v>
      </c>
    </row>
    <row r="10" spans="1:4" ht="15">
      <c r="A10" s="4"/>
      <c r="B10" s="4"/>
      <c r="C10" s="11" t="s">
        <v>156</v>
      </c>
      <c r="D10" s="57">
        <f>8.49+0.5</f>
        <v>8.99</v>
      </c>
    </row>
    <row r="11" spans="1:4" ht="15">
      <c r="A11" s="4"/>
      <c r="B11" s="4"/>
      <c r="C11" s="11" t="s">
        <v>166</v>
      </c>
      <c r="D11" s="57">
        <f>1.35+0.08</f>
        <v>1.4300000000000002</v>
      </c>
    </row>
    <row r="12" spans="1:4" ht="15">
      <c r="A12" s="4"/>
      <c r="B12" s="4"/>
      <c r="C12" s="11" t="s">
        <v>159</v>
      </c>
      <c r="D12" s="57">
        <f>3.09+0.17</f>
        <v>3.26</v>
      </c>
    </row>
    <row r="13" spans="1:4" ht="15">
      <c r="A13" s="4"/>
      <c r="B13" s="4"/>
      <c r="C13" s="11" t="s">
        <v>160</v>
      </c>
      <c r="D13" s="57">
        <f>0.06+0.1</f>
        <v>0.16</v>
      </c>
    </row>
    <row r="14" spans="1:7" ht="15">
      <c r="A14" s="4"/>
      <c r="B14" s="4"/>
      <c r="C14" s="10" t="s">
        <v>19</v>
      </c>
      <c r="D14" s="23">
        <f>SUM(D8:D13)</f>
        <v>380.28000000000003</v>
      </c>
      <c r="E14" s="21"/>
      <c r="F14" s="48"/>
      <c r="G14" s="49"/>
    </row>
    <row r="15" spans="1:7" ht="15">
      <c r="A15" s="4"/>
      <c r="B15" s="4"/>
      <c r="C15" s="10" t="s">
        <v>20</v>
      </c>
      <c r="D15" s="23">
        <f>D14+D6</f>
        <v>411.82000000000005</v>
      </c>
      <c r="E15" s="4"/>
      <c r="F15" s="48"/>
      <c r="G15" s="49"/>
    </row>
    <row r="16" spans="1:7" ht="15">
      <c r="A16" s="4"/>
      <c r="B16" s="4"/>
      <c r="C16" s="10" t="s">
        <v>21</v>
      </c>
      <c r="D16" s="42"/>
      <c r="F16" s="48"/>
      <c r="G16" s="49"/>
    </row>
    <row r="17" spans="1:7" ht="15">
      <c r="A17" s="4"/>
      <c r="B17" s="4"/>
      <c r="C17" s="10" t="s">
        <v>16</v>
      </c>
      <c r="D17" s="42"/>
      <c r="F17" s="48"/>
      <c r="G17" s="49"/>
    </row>
    <row r="18" spans="3:7" ht="14.25">
      <c r="C18" s="11" t="s">
        <v>22</v>
      </c>
      <c r="D18" s="42">
        <v>0</v>
      </c>
      <c r="F18" s="48"/>
      <c r="G18" s="49"/>
    </row>
    <row r="19" spans="3:7" ht="14.25">
      <c r="C19" s="11" t="s">
        <v>23</v>
      </c>
      <c r="D19" s="42">
        <v>0</v>
      </c>
      <c r="F19" s="48"/>
      <c r="G19" s="49"/>
    </row>
    <row r="20" spans="3:7" ht="14.25">
      <c r="C20" s="11" t="s">
        <v>24</v>
      </c>
      <c r="D20" s="42">
        <v>0</v>
      </c>
      <c r="F20" s="48"/>
      <c r="G20" s="49"/>
    </row>
    <row r="21" spans="1:7" ht="15">
      <c r="A21" s="4"/>
      <c r="B21" s="4"/>
      <c r="C21" s="10" t="s">
        <v>17</v>
      </c>
      <c r="D21" s="14">
        <v>0</v>
      </c>
      <c r="E21" s="4"/>
      <c r="F21" s="48"/>
      <c r="G21" s="49"/>
    </row>
    <row r="22" spans="1:7" ht="15">
      <c r="A22" s="4"/>
      <c r="B22" s="4"/>
      <c r="C22" s="10" t="s">
        <v>18</v>
      </c>
      <c r="D22" s="42"/>
      <c r="F22" s="48"/>
      <c r="G22" s="49"/>
    </row>
    <row r="23" spans="3:4" ht="14.25">
      <c r="C23" s="48" t="s">
        <v>94</v>
      </c>
      <c r="D23" s="57">
        <f>96+6.06+0.05</f>
        <v>102.11</v>
      </c>
    </row>
    <row r="24" spans="1:7" ht="15">
      <c r="A24" s="4"/>
      <c r="B24" s="4"/>
      <c r="C24" s="10" t="s">
        <v>19</v>
      </c>
      <c r="D24" s="23">
        <f>SUM(D23:D23)</f>
        <v>102.11</v>
      </c>
      <c r="E24" s="4"/>
      <c r="F24" s="48"/>
      <c r="G24" s="49"/>
    </row>
    <row r="25" spans="1:7" ht="15">
      <c r="A25" s="4"/>
      <c r="B25" s="4"/>
      <c r="C25" s="10" t="s">
        <v>25</v>
      </c>
      <c r="D25" s="23">
        <f>D24</f>
        <v>102.11</v>
      </c>
      <c r="E25" s="4"/>
      <c r="F25" s="48"/>
      <c r="G25" s="49"/>
    </row>
    <row r="26" spans="1:7" ht="15">
      <c r="A26" s="4"/>
      <c r="B26" s="4"/>
      <c r="C26" s="10" t="s">
        <v>26</v>
      </c>
      <c r="D26" s="42"/>
      <c r="F26" s="48"/>
      <c r="G26" s="49"/>
    </row>
    <row r="27" spans="3:9" ht="14.25">
      <c r="C27" s="8" t="s">
        <v>24</v>
      </c>
      <c r="D27" s="34">
        <f>מאוחד!D12</f>
        <v>116.65812</v>
      </c>
      <c r="F27" s="48"/>
      <c r="G27" s="49"/>
      <c r="H27" s="49"/>
      <c r="I27" s="49"/>
    </row>
    <row r="28" spans="1:9" ht="15">
      <c r="A28" s="4"/>
      <c r="B28" s="4"/>
      <c r="C28" s="10" t="s">
        <v>27</v>
      </c>
      <c r="D28" s="23">
        <f>SUM(D27)</f>
        <v>116.65812</v>
      </c>
      <c r="E28" s="4"/>
      <c r="F28" s="48"/>
      <c r="G28" s="49"/>
      <c r="H28" s="49"/>
      <c r="I28" s="49"/>
    </row>
    <row r="29" spans="1:4" ht="15">
      <c r="A29" s="4"/>
      <c r="B29" s="4"/>
      <c r="C29" s="10" t="s">
        <v>28</v>
      </c>
      <c r="D29" s="42"/>
    </row>
    <row r="30" spans="3:4" ht="14.25">
      <c r="C30" s="8" t="s">
        <v>24</v>
      </c>
      <c r="D30" s="34">
        <f>מאוחד!D14</f>
        <v>2830.00786</v>
      </c>
    </row>
    <row r="31" spans="3:4" ht="14.25" hidden="1">
      <c r="C31" s="11" t="s">
        <v>30</v>
      </c>
      <c r="D31" s="42">
        <v>0</v>
      </c>
    </row>
    <row r="32" spans="3:4" ht="14.25" hidden="1">
      <c r="C32" s="11" t="s">
        <v>24</v>
      </c>
      <c r="D32" s="42">
        <v>0</v>
      </c>
    </row>
    <row r="33" spans="1:5" ht="15">
      <c r="A33" s="4"/>
      <c r="B33" s="4"/>
      <c r="C33" s="10" t="s">
        <v>31</v>
      </c>
      <c r="D33" s="23">
        <f>SUM(D30:D32)</f>
        <v>2830.00786</v>
      </c>
      <c r="E33" s="4"/>
    </row>
    <row r="34" spans="1:4" ht="15">
      <c r="A34" s="4"/>
      <c r="B34" s="4"/>
      <c r="C34" s="10" t="s">
        <v>32</v>
      </c>
      <c r="D34" s="42"/>
    </row>
    <row r="35" spans="3:4" ht="14.25">
      <c r="C35" s="11" t="s">
        <v>29</v>
      </c>
      <c r="D35" s="42">
        <v>0</v>
      </c>
    </row>
    <row r="36" spans="3:4" ht="14.25">
      <c r="C36" s="11" t="s">
        <v>24</v>
      </c>
      <c r="D36" s="42">
        <v>0</v>
      </c>
    </row>
    <row r="37" spans="1:5" ht="15">
      <c r="A37" s="4"/>
      <c r="B37" s="4"/>
      <c r="C37" s="10" t="s">
        <v>33</v>
      </c>
      <c r="D37" s="13">
        <v>0</v>
      </c>
      <c r="E37" s="4"/>
    </row>
    <row r="38" spans="1:4" ht="15">
      <c r="A38" s="4"/>
      <c r="B38" s="4"/>
      <c r="C38" s="10" t="s">
        <v>34</v>
      </c>
      <c r="D38" s="12"/>
    </row>
    <row r="39" spans="3:4" ht="14.25">
      <c r="C39" s="11" t="s">
        <v>29</v>
      </c>
      <c r="D39" s="12">
        <v>0</v>
      </c>
    </row>
    <row r="40" spans="3:4" ht="14.25">
      <c r="C40" s="11" t="s">
        <v>24</v>
      </c>
      <c r="D40" s="12">
        <v>0</v>
      </c>
    </row>
    <row r="41" spans="1:5" ht="15">
      <c r="A41" s="4"/>
      <c r="B41" s="4"/>
      <c r="C41" s="10" t="s">
        <v>35</v>
      </c>
      <c r="D41" s="13">
        <v>0</v>
      </c>
      <c r="E41" s="4"/>
    </row>
    <row r="42" spans="1:5" ht="15">
      <c r="A42" s="4"/>
      <c r="B42" s="4"/>
      <c r="C42" s="10" t="s">
        <v>36</v>
      </c>
      <c r="D42" s="31">
        <f>D5+D14+D24+D27+D33</f>
        <v>3460.59598</v>
      </c>
      <c r="E42" s="4"/>
    </row>
    <row r="43" spans="1:6" ht="15">
      <c r="A43" s="4"/>
      <c r="B43" s="4"/>
      <c r="C43" s="15" t="s">
        <v>73</v>
      </c>
      <c r="D43" s="14">
        <f>מאוחד!D36</f>
        <v>2227558.341265</v>
      </c>
      <c r="E43" s="41"/>
      <c r="F43" s="41"/>
    </row>
  </sheetData>
  <sheetProtection/>
  <mergeCells count="1">
    <mergeCell ref="B1:I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1"/>
  <sheetViews>
    <sheetView rightToLeft="1" tabSelected="1" zoomScale="91" zoomScaleNormal="91" zoomScalePageLayoutView="0" workbookViewId="0" topLeftCell="A1">
      <selection activeCell="B16" sqref="B16"/>
    </sheetView>
  </sheetViews>
  <sheetFormatPr defaultColWidth="9.140625" defaultRowHeight="15"/>
  <cols>
    <col min="1" max="1" width="10.7109375" style="0" bestFit="1" customWidth="1"/>
    <col min="2" max="2" width="9.00390625" style="0" bestFit="1" customWidth="1"/>
    <col min="3" max="3" width="53.28125" style="0" bestFit="1" customWidth="1"/>
    <col min="4" max="4" width="11.7109375" style="0" bestFit="1" customWidth="1"/>
  </cols>
  <sheetData>
    <row r="1" spans="2:8" s="1" customFormat="1" ht="15">
      <c r="B1" s="62" t="s">
        <v>174</v>
      </c>
      <c r="C1" s="63"/>
      <c r="D1" s="63"/>
      <c r="E1" s="63"/>
      <c r="F1" s="63"/>
      <c r="G1" s="63"/>
      <c r="H1" s="63"/>
    </row>
    <row r="2" spans="3:4" ht="14.25">
      <c r="C2" t="s">
        <v>0</v>
      </c>
      <c r="D2" t="s">
        <v>1</v>
      </c>
    </row>
    <row r="3" spans="1:3" ht="15">
      <c r="A3" s="4"/>
      <c r="B3" s="4"/>
      <c r="C3" s="10" t="s">
        <v>37</v>
      </c>
    </row>
    <row r="4" spans="3:4" ht="14.25">
      <c r="C4" s="8" t="s">
        <v>38</v>
      </c>
      <c r="D4" s="42"/>
    </row>
    <row r="5" spans="3:5" ht="14.25">
      <c r="C5" s="8" t="s">
        <v>24</v>
      </c>
      <c r="D5" s="34">
        <f>מאוחד!D17</f>
        <v>2251.40166</v>
      </c>
      <c r="E5" s="11"/>
    </row>
    <row r="6" spans="3:5" ht="15">
      <c r="C6" s="52" t="s">
        <v>39</v>
      </c>
      <c r="D6" s="23">
        <f>SUM(D5:D5)</f>
        <v>2251.40166</v>
      </c>
      <c r="E6" s="11"/>
    </row>
    <row r="7" spans="1:5" ht="15">
      <c r="A7" s="4"/>
      <c r="B7" s="4"/>
      <c r="C7" s="52" t="s">
        <v>40</v>
      </c>
      <c r="D7" s="42"/>
      <c r="E7" s="11"/>
    </row>
    <row r="8" spans="1:5" ht="15">
      <c r="A8" s="4"/>
      <c r="B8" s="4"/>
      <c r="C8" s="8" t="s">
        <v>41</v>
      </c>
      <c r="D8" s="23"/>
      <c r="E8" s="11"/>
    </row>
    <row r="9" spans="1:5" ht="15">
      <c r="A9" s="4"/>
      <c r="B9" s="4"/>
      <c r="C9" s="8" t="s">
        <v>24</v>
      </c>
      <c r="D9" s="34">
        <f>מאוחד!D18</f>
        <v>3967.57573</v>
      </c>
      <c r="E9" s="11"/>
    </row>
    <row r="10" spans="3:7" ht="15">
      <c r="C10" s="10" t="s">
        <v>42</v>
      </c>
      <c r="D10" s="22">
        <f>SUM(D9)</f>
        <v>3967.57573</v>
      </c>
      <c r="E10" s="10"/>
      <c r="F10" s="4"/>
      <c r="G10" s="4"/>
    </row>
    <row r="11" spans="3:7" ht="15">
      <c r="C11" s="10" t="s">
        <v>43</v>
      </c>
      <c r="D11" s="12"/>
      <c r="E11" s="10"/>
      <c r="F11" s="4"/>
      <c r="G11" s="4"/>
    </row>
    <row r="12" spans="3:5" ht="15">
      <c r="C12" s="11" t="s">
        <v>29</v>
      </c>
      <c r="D12" s="12">
        <v>0</v>
      </c>
      <c r="E12" s="10"/>
    </row>
    <row r="13" spans="1:5" ht="15">
      <c r="A13" s="4"/>
      <c r="B13" s="4"/>
      <c r="C13" s="11" t="s">
        <v>30</v>
      </c>
      <c r="D13" s="12">
        <v>0</v>
      </c>
      <c r="E13" s="10"/>
    </row>
    <row r="14" spans="1:5" ht="15">
      <c r="A14" s="4"/>
      <c r="B14" s="4"/>
      <c r="C14" s="11" t="s">
        <v>24</v>
      </c>
      <c r="D14" s="12">
        <v>0</v>
      </c>
      <c r="E14" s="11"/>
    </row>
    <row r="15" spans="3:5" ht="15">
      <c r="C15" s="10" t="s">
        <v>44</v>
      </c>
      <c r="D15" s="13">
        <v>0</v>
      </c>
      <c r="E15" s="11"/>
    </row>
    <row r="16" spans="3:5" ht="15">
      <c r="C16" s="10" t="s">
        <v>45</v>
      </c>
      <c r="D16" s="12"/>
      <c r="E16" s="11"/>
    </row>
    <row r="17" spans="3:5" ht="14.25">
      <c r="C17" s="11" t="s">
        <v>29</v>
      </c>
      <c r="D17" s="12">
        <v>0</v>
      </c>
      <c r="E17" s="11"/>
    </row>
    <row r="18" spans="1:5" ht="15">
      <c r="A18" s="4"/>
      <c r="B18" s="4"/>
      <c r="C18" s="11" t="s">
        <v>30</v>
      </c>
      <c r="D18" s="12">
        <v>0</v>
      </c>
      <c r="E18" s="11"/>
    </row>
    <row r="19" spans="1:5" ht="15">
      <c r="A19" s="4"/>
      <c r="B19" s="4"/>
      <c r="C19" s="11" t="s">
        <v>24</v>
      </c>
      <c r="D19" s="12">
        <v>0</v>
      </c>
      <c r="E19" s="11"/>
    </row>
    <row r="20" spans="1:7" ht="15">
      <c r="A20" s="4"/>
      <c r="B20" s="4"/>
      <c r="C20" s="10" t="s">
        <v>46</v>
      </c>
      <c r="D20" s="13">
        <v>0</v>
      </c>
      <c r="E20" s="10"/>
      <c r="F20" s="4"/>
      <c r="G20" s="4"/>
    </row>
    <row r="21" spans="3:5" ht="15">
      <c r="C21" s="10" t="s">
        <v>47</v>
      </c>
      <c r="D21" s="12"/>
      <c r="E21" s="10"/>
    </row>
    <row r="22" spans="1:5" ht="15">
      <c r="A22" s="4"/>
      <c r="B22" s="60"/>
      <c r="C22" s="52" t="s">
        <v>48</v>
      </c>
      <c r="D22" s="42"/>
      <c r="E22" s="8"/>
    </row>
    <row r="23" spans="1:5" ht="15">
      <c r="A23" s="4"/>
      <c r="B23" s="60"/>
      <c r="C23" s="8" t="s">
        <v>77</v>
      </c>
      <c r="D23" s="57">
        <v>0.28</v>
      </c>
      <c r="E23" s="8"/>
    </row>
    <row r="24" spans="1:5" ht="15">
      <c r="A24" s="4"/>
      <c r="B24" s="60"/>
      <c r="C24" s="8" t="s">
        <v>87</v>
      </c>
      <c r="D24" s="57">
        <v>0.05</v>
      </c>
      <c r="E24" s="8"/>
    </row>
    <row r="25" spans="1:5" ht="15">
      <c r="A25" s="4"/>
      <c r="B25" s="60"/>
      <c r="C25" s="52" t="s">
        <v>49</v>
      </c>
      <c r="D25" s="32">
        <f>SUM(D23:D24)</f>
        <v>0.33</v>
      </c>
      <c r="E25" s="8"/>
    </row>
    <row r="26" spans="1:5" ht="15">
      <c r="A26" s="4"/>
      <c r="B26" s="60"/>
      <c r="C26" s="52" t="s">
        <v>50</v>
      </c>
      <c r="D26" s="14"/>
      <c r="E26" s="8"/>
    </row>
    <row r="27" spans="1:5" ht="15">
      <c r="A27" s="4"/>
      <c r="B27" s="60"/>
      <c r="C27" s="8" t="s">
        <v>90</v>
      </c>
      <c r="D27" s="57">
        <f>91.24+0.41</f>
        <v>91.64999999999999</v>
      </c>
      <c r="E27" s="57"/>
    </row>
    <row r="28" spans="1:5" ht="15">
      <c r="A28" s="4"/>
      <c r="B28" s="60"/>
      <c r="C28" s="8" t="s">
        <v>91</v>
      </c>
      <c r="D28" s="57">
        <f>59.77+5.5</f>
        <v>65.27000000000001</v>
      </c>
      <c r="E28" s="57"/>
    </row>
    <row r="29" spans="1:5" ht="15">
      <c r="A29" s="4"/>
      <c r="B29" s="60"/>
      <c r="C29" s="8" t="s">
        <v>92</v>
      </c>
      <c r="D29" s="57">
        <v>91.98</v>
      </c>
      <c r="E29" s="8"/>
    </row>
    <row r="30" spans="1:5" ht="15">
      <c r="A30" s="4"/>
      <c r="B30" s="60"/>
      <c r="C30" s="8" t="s">
        <v>93</v>
      </c>
      <c r="D30" s="57">
        <f>59.55+5.48</f>
        <v>65.03</v>
      </c>
      <c r="E30" s="57"/>
    </row>
    <row r="31" spans="1:5" ht="15">
      <c r="A31" s="4"/>
      <c r="B31" s="60"/>
      <c r="C31" s="52" t="s">
        <v>51</v>
      </c>
      <c r="D31" s="23">
        <f>SUM(D27:D30)</f>
        <v>313.93000000000006</v>
      </c>
      <c r="E31" s="8"/>
    </row>
    <row r="32" spans="1:5" ht="15">
      <c r="A32" s="4"/>
      <c r="B32" s="60"/>
      <c r="C32" s="52" t="s">
        <v>52</v>
      </c>
      <c r="D32" s="23">
        <f>D31+D25</f>
        <v>314.26000000000005</v>
      </c>
      <c r="E32" s="8"/>
    </row>
    <row r="33" spans="1:5" ht="15">
      <c r="A33" s="4"/>
      <c r="B33" s="60"/>
      <c r="C33" s="52" t="s">
        <v>81</v>
      </c>
      <c r="D33" s="42"/>
      <c r="E33" s="8"/>
    </row>
    <row r="34" spans="1:5" ht="15">
      <c r="A34" s="4"/>
      <c r="B34" s="60"/>
      <c r="C34" s="52" t="s">
        <v>82</v>
      </c>
      <c r="D34" s="42"/>
      <c r="E34" s="8"/>
    </row>
    <row r="35" spans="1:5" ht="15">
      <c r="A35" s="4"/>
      <c r="B35" s="60"/>
      <c r="C35" s="8" t="s">
        <v>161</v>
      </c>
      <c r="D35" s="57">
        <v>0.03</v>
      </c>
      <c r="E35" s="8"/>
    </row>
    <row r="36" spans="1:5" ht="15">
      <c r="A36" s="4"/>
      <c r="B36" s="60"/>
      <c r="C36" s="8" t="s">
        <v>86</v>
      </c>
      <c r="D36" s="61">
        <f>21.35+0.19+1.09</f>
        <v>22.630000000000003</v>
      </c>
      <c r="E36" s="57"/>
    </row>
    <row r="37" spans="1:5" ht="15">
      <c r="A37" s="4"/>
      <c r="B37" s="60"/>
      <c r="C37" s="8" t="s">
        <v>95</v>
      </c>
      <c r="D37" s="61">
        <f>1.25+0.04+0.02</f>
        <v>1.31</v>
      </c>
      <c r="E37" s="57"/>
    </row>
    <row r="38" spans="1:5" ht="15">
      <c r="A38" s="4"/>
      <c r="B38" s="60"/>
      <c r="C38" s="8" t="s">
        <v>87</v>
      </c>
      <c r="D38" s="61">
        <f>111.47+0.03+5.27</f>
        <v>116.77</v>
      </c>
      <c r="E38" s="57"/>
    </row>
    <row r="39" spans="1:5" ht="15">
      <c r="A39" s="4"/>
      <c r="B39" s="60"/>
      <c r="C39" s="8" t="s">
        <v>77</v>
      </c>
      <c r="D39" s="57">
        <f>0.15+0.68</f>
        <v>0.8300000000000001</v>
      </c>
      <c r="E39" s="57"/>
    </row>
    <row r="40" spans="1:5" ht="15">
      <c r="A40" s="4"/>
      <c r="B40" s="60"/>
      <c r="C40" s="52" t="s">
        <v>83</v>
      </c>
      <c r="D40" s="53">
        <f>SUM(D35:D39)</f>
        <v>141.57000000000002</v>
      </c>
      <c r="E40" s="8"/>
    </row>
    <row r="41" spans="2:5" ht="15">
      <c r="B41" s="57"/>
      <c r="C41" s="52" t="s">
        <v>84</v>
      </c>
      <c r="D41" s="42"/>
      <c r="E41" s="8"/>
    </row>
    <row r="42" spans="2:5" ht="14.25">
      <c r="B42" s="57"/>
      <c r="C42" s="8" t="s">
        <v>96</v>
      </c>
      <c r="D42" s="57">
        <v>6.3</v>
      </c>
      <c r="E42" s="57"/>
    </row>
    <row r="43" spans="2:5" ht="14.25">
      <c r="B43" s="57"/>
      <c r="C43" s="8" t="s">
        <v>97</v>
      </c>
      <c r="D43" s="57">
        <v>7.76</v>
      </c>
      <c r="E43" s="57"/>
    </row>
    <row r="44" spans="3:4" ht="14.25">
      <c r="C44" s="8" t="s">
        <v>98</v>
      </c>
      <c r="D44">
        <v>9.760000000000002</v>
      </c>
    </row>
    <row r="45" spans="3:4" ht="14.25">
      <c r="C45" s="8" t="s">
        <v>99</v>
      </c>
      <c r="D45">
        <v>9.84</v>
      </c>
    </row>
    <row r="46" spans="3:4" ht="14.25">
      <c r="C46" s="8" t="s">
        <v>100</v>
      </c>
      <c r="D46">
        <v>2.3200000000000003</v>
      </c>
    </row>
    <row r="47" spans="3:4" ht="14.25">
      <c r="C47" s="8" t="s">
        <v>101</v>
      </c>
      <c r="D47">
        <v>5.25</v>
      </c>
    </row>
    <row r="48" spans="3:4" ht="14.25">
      <c r="C48" s="8" t="s">
        <v>150</v>
      </c>
      <c r="D48">
        <v>1</v>
      </c>
    </row>
    <row r="49" spans="3:4" ht="14.25">
      <c r="C49" s="8" t="s">
        <v>102</v>
      </c>
      <c r="D49">
        <v>2.0399999999999996</v>
      </c>
    </row>
    <row r="50" spans="3:4" ht="14.25">
      <c r="C50" s="8" t="s">
        <v>103</v>
      </c>
      <c r="D50">
        <v>1.09</v>
      </c>
    </row>
    <row r="51" spans="3:4" ht="14.25">
      <c r="C51" s="8" t="s">
        <v>104</v>
      </c>
      <c r="D51">
        <v>2.08</v>
      </c>
    </row>
    <row r="52" spans="3:4" ht="14.25">
      <c r="C52" s="8" t="s">
        <v>105</v>
      </c>
      <c r="D52">
        <v>14.790000000000001</v>
      </c>
    </row>
    <row r="53" spans="3:4" ht="14.25">
      <c r="C53" s="8" t="s">
        <v>106</v>
      </c>
      <c r="D53">
        <v>4.930000000000001</v>
      </c>
    </row>
    <row r="54" spans="3:4" ht="14.25">
      <c r="C54" s="8" t="s">
        <v>107</v>
      </c>
      <c r="D54">
        <v>163.38</v>
      </c>
    </row>
    <row r="55" spans="3:4" ht="14.25">
      <c r="C55" s="8" t="s">
        <v>113</v>
      </c>
      <c r="D55">
        <v>6.819999999999999</v>
      </c>
    </row>
    <row r="56" spans="3:4" ht="14.25">
      <c r="C56" s="8" t="s">
        <v>120</v>
      </c>
      <c r="D56">
        <v>24.09</v>
      </c>
    </row>
    <row r="57" spans="3:4" ht="14.25">
      <c r="C57" s="8" t="s">
        <v>141</v>
      </c>
      <c r="D57">
        <v>13.2</v>
      </c>
    </row>
    <row r="58" spans="3:4" ht="14.25">
      <c r="C58" s="8" t="s">
        <v>109</v>
      </c>
      <c r="D58">
        <v>0</v>
      </c>
    </row>
    <row r="59" spans="3:4" ht="14.25">
      <c r="C59" s="8" t="s">
        <v>154</v>
      </c>
      <c r="D59">
        <v>32.48</v>
      </c>
    </row>
    <row r="60" spans="3:4" ht="14.25">
      <c r="C60" s="8" t="s">
        <v>167</v>
      </c>
      <c r="D60">
        <v>35.12</v>
      </c>
    </row>
    <row r="61" spans="3:4" ht="14.25">
      <c r="C61" s="8" t="s">
        <v>108</v>
      </c>
      <c r="D61">
        <v>10.9</v>
      </c>
    </row>
    <row r="62" spans="3:4" ht="14.25">
      <c r="C62" s="8" t="s">
        <v>110</v>
      </c>
      <c r="D62">
        <v>4.05</v>
      </c>
    </row>
    <row r="63" spans="3:4" ht="14.25">
      <c r="C63" s="8" t="s">
        <v>111</v>
      </c>
      <c r="D63">
        <v>158.47</v>
      </c>
    </row>
    <row r="64" spans="3:4" ht="14.25">
      <c r="C64" s="8" t="s">
        <v>112</v>
      </c>
      <c r="D64">
        <v>23.67</v>
      </c>
    </row>
    <row r="65" spans="3:4" ht="14.25">
      <c r="C65" s="8" t="s">
        <v>157</v>
      </c>
      <c r="D65">
        <v>8.370000000000001</v>
      </c>
    </row>
    <row r="66" spans="3:4" ht="14.25">
      <c r="C66" s="8" t="s">
        <v>168</v>
      </c>
      <c r="D66">
        <v>-0.31999999999999995</v>
      </c>
    </row>
    <row r="67" spans="3:4" ht="14.25">
      <c r="C67" s="8" t="s">
        <v>114</v>
      </c>
      <c r="D67">
        <v>25.22</v>
      </c>
    </row>
    <row r="68" spans="3:4" ht="14.25">
      <c r="C68" s="8" t="s">
        <v>115</v>
      </c>
      <c r="D68">
        <v>2.19</v>
      </c>
    </row>
    <row r="69" spans="3:4" ht="14.25">
      <c r="C69" s="8" t="s">
        <v>116</v>
      </c>
      <c r="D69">
        <v>0.66</v>
      </c>
    </row>
    <row r="70" spans="3:4" ht="14.25">
      <c r="C70" s="8" t="s">
        <v>117</v>
      </c>
      <c r="D70">
        <v>0.98</v>
      </c>
    </row>
    <row r="71" spans="3:4" ht="14.25">
      <c r="C71" s="8" t="s">
        <v>118</v>
      </c>
      <c r="D71">
        <v>6.2</v>
      </c>
    </row>
    <row r="72" spans="3:4" ht="14.25">
      <c r="C72" s="8" t="s">
        <v>119</v>
      </c>
      <c r="D72">
        <v>1.6800000000000002</v>
      </c>
    </row>
    <row r="73" spans="3:4" ht="14.25">
      <c r="C73" s="8" t="s">
        <v>121</v>
      </c>
      <c r="D73">
        <v>26.9</v>
      </c>
    </row>
    <row r="74" spans="3:4" ht="14.25">
      <c r="C74" s="8" t="s">
        <v>122</v>
      </c>
      <c r="D74">
        <v>14.040000000000001</v>
      </c>
    </row>
    <row r="75" spans="3:4" ht="14.25">
      <c r="C75" s="8" t="s">
        <v>123</v>
      </c>
      <c r="D75">
        <v>1.23</v>
      </c>
    </row>
    <row r="76" spans="3:4" ht="14.25">
      <c r="C76" s="8" t="s">
        <v>163</v>
      </c>
      <c r="D76">
        <v>0.69</v>
      </c>
    </row>
    <row r="77" spans="3:4" ht="14.25">
      <c r="C77" s="8" t="s">
        <v>124</v>
      </c>
      <c r="D77">
        <v>3.17</v>
      </c>
    </row>
    <row r="78" spans="3:4" ht="14.25">
      <c r="C78" s="8" t="s">
        <v>125</v>
      </c>
      <c r="D78">
        <v>19.720000000000002</v>
      </c>
    </row>
    <row r="79" spans="3:4" ht="14.25">
      <c r="C79" s="8" t="s">
        <v>126</v>
      </c>
      <c r="D79">
        <v>0.48</v>
      </c>
    </row>
    <row r="80" spans="3:4" ht="14.25">
      <c r="C80" s="8" t="s">
        <v>155</v>
      </c>
      <c r="D80">
        <v>81.54</v>
      </c>
    </row>
    <row r="81" spans="3:4" ht="14.25">
      <c r="C81" s="8" t="s">
        <v>127</v>
      </c>
      <c r="D81">
        <v>23.05</v>
      </c>
    </row>
    <row r="82" spans="3:4" ht="14.25">
      <c r="C82" s="8" t="s">
        <v>128</v>
      </c>
      <c r="D82">
        <v>24.279999999999998</v>
      </c>
    </row>
    <row r="83" spans="3:4" ht="14.25">
      <c r="C83" s="8" t="s">
        <v>129</v>
      </c>
      <c r="D83">
        <v>1.3</v>
      </c>
    </row>
    <row r="84" spans="3:4" ht="14.25">
      <c r="C84" s="8" t="s">
        <v>130</v>
      </c>
      <c r="D84">
        <v>2.31</v>
      </c>
    </row>
    <row r="85" spans="3:4" ht="14.25">
      <c r="C85" s="8" t="s">
        <v>131</v>
      </c>
      <c r="D85">
        <v>0.62</v>
      </c>
    </row>
    <row r="86" spans="3:4" ht="14.25">
      <c r="C86" s="8" t="s">
        <v>132</v>
      </c>
      <c r="D86">
        <v>10.899999999999999</v>
      </c>
    </row>
    <row r="87" spans="3:4" ht="14.25">
      <c r="C87" s="8" t="s">
        <v>133</v>
      </c>
      <c r="D87">
        <v>3.52</v>
      </c>
    </row>
    <row r="88" spans="3:4" ht="14.25">
      <c r="C88" s="8" t="s">
        <v>134</v>
      </c>
      <c r="D88">
        <v>0.8</v>
      </c>
    </row>
    <row r="89" spans="3:4" ht="14.25">
      <c r="C89" s="8" t="s">
        <v>135</v>
      </c>
      <c r="D89">
        <v>13.1</v>
      </c>
    </row>
    <row r="90" spans="3:4" ht="14.25">
      <c r="C90" s="8" t="s">
        <v>136</v>
      </c>
      <c r="D90">
        <v>16.77</v>
      </c>
    </row>
    <row r="91" spans="3:4" ht="14.25">
      <c r="C91" s="8" t="s">
        <v>137</v>
      </c>
      <c r="D91">
        <v>0.04</v>
      </c>
    </row>
    <row r="92" spans="3:4" ht="14.25">
      <c r="C92" s="8" t="s">
        <v>138</v>
      </c>
      <c r="D92">
        <v>14.32</v>
      </c>
    </row>
    <row r="93" spans="3:4" ht="14.25">
      <c r="C93" s="8" t="s">
        <v>151</v>
      </c>
      <c r="D93">
        <v>1.02</v>
      </c>
    </row>
    <row r="94" spans="3:4" ht="14.25">
      <c r="C94" s="8" t="s">
        <v>139</v>
      </c>
      <c r="D94">
        <v>42.35</v>
      </c>
    </row>
    <row r="95" spans="3:4" ht="14.25">
      <c r="C95" s="8" t="s">
        <v>140</v>
      </c>
      <c r="D95">
        <v>29.04</v>
      </c>
    </row>
    <row r="96" spans="3:4" ht="14.25">
      <c r="C96" s="8" t="s">
        <v>142</v>
      </c>
      <c r="D96">
        <v>20.599999999999998</v>
      </c>
    </row>
    <row r="97" spans="3:4" ht="14.25">
      <c r="C97" s="8" t="s">
        <v>143</v>
      </c>
      <c r="D97">
        <v>29.76</v>
      </c>
    </row>
    <row r="98" spans="3:4" ht="14.25">
      <c r="C98" s="8" t="s">
        <v>145</v>
      </c>
      <c r="D98">
        <v>116.51</v>
      </c>
    </row>
    <row r="99" spans="3:4" ht="14.25">
      <c r="C99" s="8" t="s">
        <v>146</v>
      </c>
      <c r="D99">
        <v>0</v>
      </c>
    </row>
    <row r="100" spans="3:4" ht="14.25">
      <c r="C100" s="8" t="s">
        <v>147</v>
      </c>
      <c r="D100">
        <v>22.86</v>
      </c>
    </row>
    <row r="101" spans="3:4" ht="14.25">
      <c r="C101" s="8" t="s">
        <v>152</v>
      </c>
      <c r="D101">
        <v>0</v>
      </c>
    </row>
    <row r="102" spans="3:4" ht="14.25">
      <c r="C102" s="8" t="s">
        <v>148</v>
      </c>
      <c r="D102">
        <v>1.03</v>
      </c>
    </row>
    <row r="103" spans="3:4" ht="14.25">
      <c r="C103" s="8" t="s">
        <v>149</v>
      </c>
      <c r="D103">
        <v>18.34</v>
      </c>
    </row>
    <row r="104" spans="3:4" ht="14.25">
      <c r="C104" s="8" t="s">
        <v>144</v>
      </c>
      <c r="D104">
        <v>0.04</v>
      </c>
    </row>
    <row r="105" spans="3:4" ht="14.25">
      <c r="C105" s="8" t="s">
        <v>169</v>
      </c>
      <c r="D105">
        <v>0.01</v>
      </c>
    </row>
    <row r="106" spans="3:4" ht="14.25">
      <c r="C106" s="8" t="s">
        <v>158</v>
      </c>
      <c r="D106">
        <v>0.26</v>
      </c>
    </row>
    <row r="107" spans="3:4" ht="14.25">
      <c r="C107" s="8" t="s">
        <v>153</v>
      </c>
      <c r="D107">
        <v>0.15</v>
      </c>
    </row>
    <row r="108" spans="3:5" ht="15">
      <c r="C108" s="10" t="s">
        <v>85</v>
      </c>
      <c r="D108" s="22">
        <f>SUM(D42:D107)</f>
        <v>1125.0699999999995</v>
      </c>
      <c r="E108" s="11"/>
    </row>
    <row r="109" spans="3:5" ht="15">
      <c r="C109" s="10" t="s">
        <v>80</v>
      </c>
      <c r="D109" s="22">
        <f>+D108+D40</f>
        <v>1266.6399999999994</v>
      </c>
      <c r="E109" s="11"/>
    </row>
    <row r="110" spans="3:5" ht="15">
      <c r="C110" s="10" t="s">
        <v>53</v>
      </c>
      <c r="D110" s="22">
        <f>+D109+D32+D10+D6</f>
        <v>7799.87739</v>
      </c>
      <c r="E110" s="11"/>
    </row>
    <row r="111" spans="3:5" ht="15">
      <c r="C111" s="10" t="s">
        <v>73</v>
      </c>
      <c r="D111" s="14">
        <f>מאוחד!D36</f>
        <v>2227558.341265</v>
      </c>
      <c r="E111" s="11"/>
    </row>
    <row r="112" ht="14.25">
      <c r="E112" s="11"/>
    </row>
    <row r="113" spans="3:5" ht="14.25">
      <c r="C113" s="11"/>
      <c r="E113" s="11"/>
    </row>
    <row r="114" spans="3:5" ht="14.25">
      <c r="C114" s="11"/>
      <c r="E114" s="11"/>
    </row>
    <row r="115" spans="3:5" ht="14.25">
      <c r="C115" s="11"/>
      <c r="E115" s="11"/>
    </row>
    <row r="116" spans="3:5" ht="14.25">
      <c r="C116" s="11"/>
      <c r="E116" s="11"/>
    </row>
    <row r="117" spans="3:5" ht="14.25">
      <c r="C117" s="11"/>
      <c r="E117" s="11"/>
    </row>
    <row r="118" spans="3:5" ht="14.25">
      <c r="C118" s="11"/>
      <c r="E118" s="11"/>
    </row>
    <row r="119" spans="3:5" ht="14.25">
      <c r="C119" s="11"/>
      <c r="E119" s="11"/>
    </row>
    <row r="120" spans="3:5" ht="14.25">
      <c r="C120" s="11"/>
      <c r="E120" s="11"/>
    </row>
    <row r="121" spans="3:5" ht="14.25">
      <c r="C121" s="11"/>
      <c r="E121" s="11"/>
    </row>
    <row r="122" spans="3:5" ht="14.25">
      <c r="C122" s="11"/>
      <c r="E122" s="11"/>
    </row>
    <row r="123" spans="3:5" ht="14.25">
      <c r="C123" s="11"/>
      <c r="E123" s="11"/>
    </row>
    <row r="124" spans="3:5" ht="14.25">
      <c r="C124" s="11"/>
      <c r="E124" s="11"/>
    </row>
    <row r="125" spans="3:5" ht="14.25">
      <c r="C125" s="11"/>
      <c r="E125" s="11"/>
    </row>
    <row r="126" spans="3:5" ht="14.25">
      <c r="C126" s="11"/>
      <c r="E126" s="11"/>
    </row>
    <row r="127" spans="3:5" ht="14.25">
      <c r="C127" s="11"/>
      <c r="E127" s="11"/>
    </row>
    <row r="128" spans="3:5" ht="14.25">
      <c r="C128" s="11"/>
      <c r="E128" s="11"/>
    </row>
    <row r="129" spans="3:5" ht="14.25">
      <c r="C129" s="11"/>
      <c r="E129" s="11"/>
    </row>
    <row r="130" spans="3:7" ht="15">
      <c r="C130" s="11"/>
      <c r="E130" s="10"/>
      <c r="F130" s="4"/>
      <c r="G130" s="4"/>
    </row>
    <row r="131" spans="3:7" ht="15">
      <c r="C131" s="11"/>
      <c r="E131" s="10"/>
      <c r="F131" s="4"/>
      <c r="G131" s="4"/>
    </row>
    <row r="132" spans="3:7" ht="15">
      <c r="C132" s="11"/>
      <c r="E132" s="10"/>
      <c r="F132" s="4"/>
      <c r="G132" s="4"/>
    </row>
    <row r="133" spans="3:7" ht="15">
      <c r="C133" s="11"/>
      <c r="E133" s="10"/>
      <c r="F133" s="41"/>
      <c r="G133" s="4"/>
    </row>
    <row r="134" ht="14.25">
      <c r="C134" s="11"/>
    </row>
    <row r="135" ht="14.25">
      <c r="C135" s="11"/>
    </row>
    <row r="136" ht="14.25">
      <c r="C136" s="11"/>
    </row>
    <row r="137" ht="14.25">
      <c r="C137" s="11"/>
    </row>
    <row r="138" ht="14.25">
      <c r="C138" s="11"/>
    </row>
    <row r="139" ht="14.25">
      <c r="C139" s="11"/>
    </row>
    <row r="140" ht="14.25">
      <c r="C140" s="11"/>
    </row>
    <row r="141" ht="14.25">
      <c r="C141" s="11"/>
    </row>
    <row r="142" ht="14.25">
      <c r="C142" s="11"/>
    </row>
    <row r="143" ht="14.25">
      <c r="C143" s="11"/>
    </row>
    <row r="144" ht="14.25">
      <c r="C144" s="11"/>
    </row>
    <row r="145" ht="14.25">
      <c r="C145" s="11"/>
    </row>
    <row r="146" ht="14.25">
      <c r="C146" s="11"/>
    </row>
    <row r="147" ht="14.25">
      <c r="C147" s="11"/>
    </row>
    <row r="148" ht="14.25">
      <c r="C148" s="11"/>
    </row>
    <row r="149" ht="14.25">
      <c r="C149" s="11"/>
    </row>
    <row r="150" ht="14.25">
      <c r="C150" s="11"/>
    </row>
    <row r="151" spans="3:4" ht="15">
      <c r="C151" s="10"/>
      <c r="D151" s="4"/>
    </row>
  </sheetData>
  <sheetProtection/>
  <mergeCells count="1">
    <mergeCell ref="B1:H1"/>
  </mergeCells>
  <conditionalFormatting sqref="C42:C44">
    <cfRule type="duplicateValues" priority="16" dxfId="2" stopIfTrue="1">
      <formula>AND(COUNTIF($C$42:$C$44,C42)&gt;1,NOT(ISBLANK(C42)))</formula>
    </cfRule>
  </conditionalFormatting>
  <conditionalFormatting sqref="C45:C137">
    <cfRule type="duplicateValues" priority="32" dxfId="2" stopIfTrue="1">
      <formula>AND(COUNTIF($C$45:$C$137,C45)&gt;1,NOT(ISBLANK(C45)))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Levi Efrat</cp:lastModifiedBy>
  <cp:lastPrinted>2018-02-05T12:38:40Z</cp:lastPrinted>
  <dcterms:created xsi:type="dcterms:W3CDTF">2017-08-03T06:46:24Z</dcterms:created>
  <dcterms:modified xsi:type="dcterms:W3CDTF">2024-01-17T12:41:24Z</dcterms:modified>
  <cp:category/>
  <cp:version/>
  <cp:contentType/>
  <cp:contentStatus/>
</cp:coreProperties>
</file>